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 firstSheet="4" activeTab="9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C93" i="22" s="1"/>
  <c r="E91" i="22"/>
  <c r="E93" i="22" s="1"/>
  <c r="D91" i="22"/>
  <c r="D93" i="22" s="1"/>
  <c r="C91" i="22"/>
  <c r="E87" i="22"/>
  <c r="E88" i="22" s="1"/>
  <c r="D87" i="22"/>
  <c r="C87" i="22"/>
  <c r="E86" i="22"/>
  <c r="D86" i="22"/>
  <c r="C86" i="22"/>
  <c r="E83" i="22"/>
  <c r="D83" i="22"/>
  <c r="D102" i="22" s="1"/>
  <c r="C83" i="22"/>
  <c r="E76" i="22"/>
  <c r="D76" i="22"/>
  <c r="C76" i="22"/>
  <c r="C77" i="22" s="1"/>
  <c r="E75" i="22"/>
  <c r="E77" i="22" s="1"/>
  <c r="D75" i="22"/>
  <c r="D77" i="22" s="1"/>
  <c r="D108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D23" i="22" s="1"/>
  <c r="D54" i="22" s="1"/>
  <c r="D33" i="22"/>
  <c r="C12" i="22"/>
  <c r="D21" i="21"/>
  <c r="E21" i="21" s="1"/>
  <c r="C21" i="21"/>
  <c r="D19" i="21"/>
  <c r="C19" i="21"/>
  <c r="E17" i="21"/>
  <c r="F17" i="21" s="1"/>
  <c r="F15" i="21"/>
  <c r="E15" i="21"/>
  <c r="D45" i="20"/>
  <c r="E45" i="20" s="1"/>
  <c r="C45" i="20"/>
  <c r="D44" i="20"/>
  <c r="E44" i="20" s="1"/>
  <c r="C44" i="20"/>
  <c r="C46" i="20" s="1"/>
  <c r="D43" i="20"/>
  <c r="C43" i="20"/>
  <c r="D36" i="20"/>
  <c r="D40" i="20"/>
  <c r="C36" i="20"/>
  <c r="C40" i="20" s="1"/>
  <c r="E40" i="20" s="1"/>
  <c r="E35" i="20"/>
  <c r="F35" i="20" s="1"/>
  <c r="E34" i="20"/>
  <c r="F34" i="20" s="1"/>
  <c r="F33" i="20"/>
  <c r="E33" i="20"/>
  <c r="E30" i="20"/>
  <c r="F30" i="20" s="1"/>
  <c r="E29" i="20"/>
  <c r="F29" i="20" s="1"/>
  <c r="E28" i="20"/>
  <c r="F28" i="20" s="1"/>
  <c r="F27" i="20"/>
  <c r="E27" i="20"/>
  <c r="D25" i="20"/>
  <c r="D39" i="20"/>
  <c r="C25" i="20"/>
  <c r="C39" i="20" s="1"/>
  <c r="E24" i="20"/>
  <c r="E23" i="20"/>
  <c r="F23" i="20" s="1"/>
  <c r="E22" i="20"/>
  <c r="F22" i="20" s="1"/>
  <c r="D19" i="20"/>
  <c r="E19" i="20" s="1"/>
  <c r="C19" i="20"/>
  <c r="C20" i="20" s="1"/>
  <c r="E18" i="20"/>
  <c r="F18" i="20" s="1"/>
  <c r="D16" i="20"/>
  <c r="E16" i="20"/>
  <c r="F16" i="20" s="1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8" i="19" s="1"/>
  <c r="C127" i="19" s="1"/>
  <c r="C129" i="19" s="1"/>
  <c r="C133" i="19" s="1"/>
  <c r="C32" i="19"/>
  <c r="C33" i="19" s="1"/>
  <c r="C21" i="19"/>
  <c r="C37" i="19" s="1"/>
  <c r="E328" i="18"/>
  <c r="E325" i="18"/>
  <c r="D324" i="18"/>
  <c r="C324" i="18"/>
  <c r="C326" i="18" s="1"/>
  <c r="C330" i="18" s="1"/>
  <c r="E318" i="18"/>
  <c r="E315" i="18"/>
  <c r="D314" i="18"/>
  <c r="D316" i="18" s="1"/>
  <c r="C314" i="18"/>
  <c r="C316" i="18" s="1"/>
  <c r="E308" i="18"/>
  <c r="E305" i="18"/>
  <c r="D301" i="18"/>
  <c r="E301" i="18"/>
  <c r="C301" i="18"/>
  <c r="D293" i="18"/>
  <c r="E293" i="18" s="1"/>
  <c r="C293" i="18"/>
  <c r="D292" i="18"/>
  <c r="E292" i="18" s="1"/>
  <c r="C292" i="18"/>
  <c r="D291" i="18"/>
  <c r="E291" i="18" s="1"/>
  <c r="C291" i="18"/>
  <c r="D290" i="18"/>
  <c r="E290" i="18" s="1"/>
  <c r="C290" i="18"/>
  <c r="D288" i="18"/>
  <c r="C288" i="18"/>
  <c r="D287" i="18"/>
  <c r="C287" i="18"/>
  <c r="E287" i="18"/>
  <c r="D282" i="18"/>
  <c r="E282" i="18" s="1"/>
  <c r="C282" i="18"/>
  <c r="D281" i="18"/>
  <c r="C281" i="18"/>
  <c r="E281" i="18" s="1"/>
  <c r="D280" i="18"/>
  <c r="C280" i="18"/>
  <c r="D279" i="18"/>
  <c r="E279" i="18" s="1"/>
  <c r="C279" i="18"/>
  <c r="D278" i="18"/>
  <c r="C278" i="18"/>
  <c r="D277" i="18"/>
  <c r="C277" i="18"/>
  <c r="D276" i="18"/>
  <c r="C276" i="18"/>
  <c r="E276" i="18" s="1"/>
  <c r="E270" i="18"/>
  <c r="D265" i="18"/>
  <c r="D302" i="18" s="1"/>
  <c r="C265" i="18"/>
  <c r="C302" i="18"/>
  <c r="D262" i="18"/>
  <c r="C262" i="18"/>
  <c r="D251" i="18"/>
  <c r="C251" i="18"/>
  <c r="D233" i="18"/>
  <c r="E233" i="18" s="1"/>
  <c r="C233" i="18"/>
  <c r="D232" i="18"/>
  <c r="C232" i="18"/>
  <c r="E232" i="18"/>
  <c r="D231" i="18"/>
  <c r="C231" i="18"/>
  <c r="D230" i="18"/>
  <c r="E230" i="18" s="1"/>
  <c r="C230" i="18"/>
  <c r="D228" i="18"/>
  <c r="E228" i="18" s="1"/>
  <c r="C228" i="18"/>
  <c r="D227" i="18"/>
  <c r="C227" i="18"/>
  <c r="D221" i="18"/>
  <c r="E221" i="18" s="1"/>
  <c r="C221" i="18"/>
  <c r="D220" i="18"/>
  <c r="C220" i="18"/>
  <c r="C244" i="18" s="1"/>
  <c r="D219" i="18"/>
  <c r="D243" i="18" s="1"/>
  <c r="C219" i="18"/>
  <c r="D218" i="18"/>
  <c r="C218" i="18"/>
  <c r="C242" i="18"/>
  <c r="D216" i="18"/>
  <c r="C216" i="18"/>
  <c r="C240" i="18" s="1"/>
  <c r="D215" i="18"/>
  <c r="D239" i="18"/>
  <c r="C215" i="18"/>
  <c r="E209" i="18"/>
  <c r="E208" i="18"/>
  <c r="E207" i="18"/>
  <c r="E206" i="18"/>
  <c r="D205" i="18"/>
  <c r="C205" i="18"/>
  <c r="C210" i="18" s="1"/>
  <c r="E204" i="18"/>
  <c r="E203" i="18"/>
  <c r="E197" i="18"/>
  <c r="E196" i="18"/>
  <c r="D195" i="18"/>
  <c r="D260" i="18" s="1"/>
  <c r="C195" i="18"/>
  <c r="C260" i="18" s="1"/>
  <c r="E194" i="18"/>
  <c r="E193" i="18"/>
  <c r="E192" i="18"/>
  <c r="E191" i="18"/>
  <c r="E190" i="18"/>
  <c r="D188" i="18"/>
  <c r="C188" i="18"/>
  <c r="E186" i="18"/>
  <c r="E185" i="18"/>
  <c r="D179" i="18"/>
  <c r="E179" i="18" s="1"/>
  <c r="C179" i="18"/>
  <c r="D178" i="18"/>
  <c r="C178" i="18"/>
  <c r="E178" i="18"/>
  <c r="D177" i="18"/>
  <c r="C177" i="18"/>
  <c r="E177" i="18" s="1"/>
  <c r="D176" i="18"/>
  <c r="E176" i="18" s="1"/>
  <c r="C176" i="18"/>
  <c r="D174" i="18"/>
  <c r="C174" i="18"/>
  <c r="D173" i="18"/>
  <c r="E173" i="18" s="1"/>
  <c r="C173" i="18"/>
  <c r="D167" i="18"/>
  <c r="E167" i="18" s="1"/>
  <c r="C167" i="18"/>
  <c r="D166" i="18"/>
  <c r="E166" i="18"/>
  <c r="C166" i="18"/>
  <c r="D165" i="18"/>
  <c r="C165" i="18"/>
  <c r="D164" i="18"/>
  <c r="C164" i="18"/>
  <c r="E164" i="18" s="1"/>
  <c r="D162" i="18"/>
  <c r="C162" i="18"/>
  <c r="D161" i="18"/>
  <c r="C161" i="18"/>
  <c r="E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C139" i="18"/>
  <c r="E138" i="18"/>
  <c r="E137" i="18"/>
  <c r="D75" i="18"/>
  <c r="E75" i="18" s="1"/>
  <c r="C75" i="18"/>
  <c r="D74" i="18"/>
  <c r="C74" i="18"/>
  <c r="E74" i="18" s="1"/>
  <c r="D73" i="18"/>
  <c r="E73" i="18" s="1"/>
  <c r="C73" i="18"/>
  <c r="D72" i="18"/>
  <c r="E72" i="18" s="1"/>
  <c r="C72" i="18"/>
  <c r="D70" i="18"/>
  <c r="C70" i="18"/>
  <c r="D69" i="18"/>
  <c r="C69" i="18"/>
  <c r="E64" i="18"/>
  <c r="E63" i="18"/>
  <c r="E62" i="18"/>
  <c r="E61" i="18"/>
  <c r="D60" i="18"/>
  <c r="C60" i="18"/>
  <c r="C65" i="18" s="1"/>
  <c r="C66" i="18" s="1"/>
  <c r="C289" i="18"/>
  <c r="E59" i="18"/>
  <c r="E58" i="18"/>
  <c r="D54" i="18"/>
  <c r="D55" i="18" s="1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E41" i="18" s="1"/>
  <c r="C41" i="18"/>
  <c r="D40" i="18"/>
  <c r="C40" i="18"/>
  <c r="D39" i="18"/>
  <c r="E39" i="18" s="1"/>
  <c r="C39" i="18"/>
  <c r="D38" i="18"/>
  <c r="E38" i="18" s="1"/>
  <c r="C38" i="18"/>
  <c r="D37" i="18"/>
  <c r="C37" i="18"/>
  <c r="C43" i="18"/>
  <c r="D36" i="18"/>
  <c r="E36" i="18" s="1"/>
  <c r="C36" i="18"/>
  <c r="D32" i="18"/>
  <c r="D33" i="18" s="1"/>
  <c r="C32" i="18"/>
  <c r="C33" i="18" s="1"/>
  <c r="E31" i="18"/>
  <c r="E30" i="18"/>
  <c r="E29" i="18"/>
  <c r="E28" i="18"/>
  <c r="E27" i="18"/>
  <c r="E26" i="18"/>
  <c r="E25" i="18"/>
  <c r="D21" i="18"/>
  <c r="D22" i="18" s="1"/>
  <c r="D284" i="18" s="1"/>
  <c r="C21" i="18"/>
  <c r="C283" i="18" s="1"/>
  <c r="E20" i="18"/>
  <c r="E19" i="18"/>
  <c r="E18" i="18"/>
  <c r="E17" i="18"/>
  <c r="E16" i="18"/>
  <c r="E15" i="18"/>
  <c r="E14" i="18"/>
  <c r="E335" i="17"/>
  <c r="F335" i="17" s="1"/>
  <c r="E334" i="17"/>
  <c r="F334" i="17" s="1"/>
  <c r="E333" i="17"/>
  <c r="F333" i="17" s="1"/>
  <c r="F332" i="17"/>
  <c r="E332" i="17"/>
  <c r="E331" i="17"/>
  <c r="F331" i="17" s="1"/>
  <c r="E330" i="17"/>
  <c r="F330" i="17" s="1"/>
  <c r="E329" i="17"/>
  <c r="F329" i="17" s="1"/>
  <c r="F316" i="17"/>
  <c r="E316" i="17"/>
  <c r="D311" i="17"/>
  <c r="C311" i="17"/>
  <c r="F311" i="17" s="1"/>
  <c r="E308" i="17"/>
  <c r="F308" i="17" s="1"/>
  <c r="D307" i="17"/>
  <c r="E307" i="17" s="1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 s="1"/>
  <c r="C250" i="17"/>
  <c r="C306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E238" i="17"/>
  <c r="C238" i="17"/>
  <c r="D237" i="17"/>
  <c r="E237" i="17" s="1"/>
  <c r="F237" i="17" s="1"/>
  <c r="C237" i="17"/>
  <c r="C239" i="17" s="1"/>
  <c r="E234" i="17"/>
  <c r="F234" i="17" s="1"/>
  <c r="E233" i="17"/>
  <c r="F233" i="17" s="1"/>
  <c r="D230" i="17"/>
  <c r="E230" i="17"/>
  <c r="C230" i="17"/>
  <c r="D229" i="17"/>
  <c r="C229" i="17"/>
  <c r="E228" i="17"/>
  <c r="F228" i="17" s="1"/>
  <c r="D226" i="17"/>
  <c r="D227" i="17" s="1"/>
  <c r="C226" i="17"/>
  <c r="C227" i="17" s="1"/>
  <c r="E225" i="17"/>
  <c r="F225" i="17" s="1"/>
  <c r="E224" i="17"/>
  <c r="F224" i="17" s="1"/>
  <c r="D223" i="17"/>
  <c r="C223" i="17"/>
  <c r="E222" i="17"/>
  <c r="F222" i="17" s="1"/>
  <c r="E221" i="17"/>
  <c r="F221" i="17" s="1"/>
  <c r="D204" i="17"/>
  <c r="C204" i="17"/>
  <c r="C285" i="17" s="1"/>
  <c r="D203" i="17"/>
  <c r="C203" i="17"/>
  <c r="D198" i="17"/>
  <c r="C198" i="17"/>
  <c r="C199" i="17" s="1"/>
  <c r="D191" i="17"/>
  <c r="D280" i="17" s="1"/>
  <c r="C191" i="17"/>
  <c r="C280" i="17" s="1"/>
  <c r="D189" i="17"/>
  <c r="C189" i="17"/>
  <c r="C278" i="17" s="1"/>
  <c r="C279" i="17" s="1"/>
  <c r="D188" i="17"/>
  <c r="C188" i="17"/>
  <c r="C277" i="17" s="1"/>
  <c r="D180" i="17"/>
  <c r="D181" i="17" s="1"/>
  <c r="C180" i="17"/>
  <c r="D179" i="17"/>
  <c r="E179" i="17"/>
  <c r="C179" i="17"/>
  <c r="D171" i="17"/>
  <c r="C171" i="17"/>
  <c r="C172" i="17" s="1"/>
  <c r="C173" i="17" s="1"/>
  <c r="D170" i="17"/>
  <c r="C170" i="17"/>
  <c r="E169" i="17"/>
  <c r="F169" i="17" s="1"/>
  <c r="E168" i="17"/>
  <c r="F168" i="17" s="1"/>
  <c r="D165" i="17"/>
  <c r="C165" i="17"/>
  <c r="D164" i="17"/>
  <c r="C164" i="17"/>
  <c r="E163" i="17"/>
  <c r="F163" i="17" s="1"/>
  <c r="D158" i="17"/>
  <c r="C158" i="17"/>
  <c r="C159" i="17" s="1"/>
  <c r="E157" i="17"/>
  <c r="F157" i="17"/>
  <c r="E156" i="17"/>
  <c r="F156" i="17" s="1"/>
  <c r="D155" i="17"/>
  <c r="E155" i="17" s="1"/>
  <c r="F155" i="17" s="1"/>
  <c r="C155" i="17"/>
  <c r="E154" i="17"/>
  <c r="F154" i="17" s="1"/>
  <c r="E153" i="17"/>
  <c r="F153" i="17" s="1"/>
  <c r="D145" i="17"/>
  <c r="C145" i="17"/>
  <c r="D144" i="17"/>
  <c r="C144" i="17"/>
  <c r="D136" i="17"/>
  <c r="D137" i="17" s="1"/>
  <c r="E137" i="17" s="1"/>
  <c r="F137" i="17" s="1"/>
  <c r="C136" i="17"/>
  <c r="C137" i="17" s="1"/>
  <c r="D135" i="17"/>
  <c r="C135" i="17"/>
  <c r="E134" i="17"/>
  <c r="F134" i="17" s="1"/>
  <c r="E133" i="17"/>
  <c r="F133" i="17" s="1"/>
  <c r="D130" i="17"/>
  <c r="E130" i="17" s="1"/>
  <c r="F130" i="17" s="1"/>
  <c r="C130" i="17"/>
  <c r="D129" i="17"/>
  <c r="C129" i="17"/>
  <c r="E128" i="17"/>
  <c r="F128" i="17"/>
  <c r="D123" i="17"/>
  <c r="D124" i="17" s="1"/>
  <c r="C123" i="17"/>
  <c r="E122" i="17"/>
  <c r="F122" i="17" s="1"/>
  <c r="E121" i="17"/>
  <c r="F121" i="17" s="1"/>
  <c r="D120" i="17"/>
  <c r="C120" i="17"/>
  <c r="E119" i="17"/>
  <c r="F119" i="17"/>
  <c r="E118" i="17"/>
  <c r="F118" i="17" s="1"/>
  <c r="D110" i="17"/>
  <c r="C110" i="17"/>
  <c r="E110" i="17" s="1"/>
  <c r="F110" i="17" s="1"/>
  <c r="D109" i="17"/>
  <c r="C109" i="17"/>
  <c r="E109" i="17" s="1"/>
  <c r="F109" i="17" s="1"/>
  <c r="D101" i="17"/>
  <c r="C101" i="17"/>
  <c r="C102" i="17" s="1"/>
  <c r="D100" i="17"/>
  <c r="E100" i="17" s="1"/>
  <c r="C100" i="17"/>
  <c r="E99" i="17"/>
  <c r="F99" i="17" s="1"/>
  <c r="E98" i="17"/>
  <c r="F98" i="17" s="1"/>
  <c r="D95" i="17"/>
  <c r="C95" i="17"/>
  <c r="D94" i="17"/>
  <c r="C94" i="17"/>
  <c r="E93" i="17"/>
  <c r="F93" i="17" s="1"/>
  <c r="D88" i="17"/>
  <c r="D89" i="17" s="1"/>
  <c r="C88" i="17"/>
  <c r="C89" i="17" s="1"/>
  <c r="E87" i="17"/>
  <c r="F87" i="17" s="1"/>
  <c r="E86" i="17"/>
  <c r="F86" i="17" s="1"/>
  <c r="D85" i="17"/>
  <c r="E85" i="17" s="1"/>
  <c r="F85" i="17" s="1"/>
  <c r="C85" i="17"/>
  <c r="E84" i="17"/>
  <c r="F84" i="17"/>
  <c r="E83" i="17"/>
  <c r="F83" i="17" s="1"/>
  <c r="D76" i="17"/>
  <c r="D77" i="17" s="1"/>
  <c r="C76" i="17"/>
  <c r="E74" i="17"/>
  <c r="F74" i="17" s="1"/>
  <c r="E73" i="17"/>
  <c r="F73" i="17" s="1"/>
  <c r="D67" i="17"/>
  <c r="C67" i="17"/>
  <c r="D66" i="17"/>
  <c r="C66" i="17"/>
  <c r="D59" i="17"/>
  <c r="C59" i="17"/>
  <c r="C60" i="17"/>
  <c r="C61" i="17" s="1"/>
  <c r="C62" i="17" s="1"/>
  <c r="C63" i="17" s="1"/>
  <c r="D58" i="17"/>
  <c r="E58" i="17" s="1"/>
  <c r="F58" i="17" s="1"/>
  <c r="C58" i="17"/>
  <c r="E57" i="17"/>
  <c r="F57" i="17" s="1"/>
  <c r="E56" i="17"/>
  <c r="F56" i="17" s="1"/>
  <c r="D53" i="17"/>
  <c r="C53" i="17"/>
  <c r="D52" i="17"/>
  <c r="C52" i="17"/>
  <c r="E51" i="17"/>
  <c r="F51" i="17" s="1"/>
  <c r="D47" i="17"/>
  <c r="D48" i="17" s="1"/>
  <c r="C47" i="17"/>
  <c r="C48" i="17" s="1"/>
  <c r="E46" i="17"/>
  <c r="F46" i="17" s="1"/>
  <c r="E45" i="17"/>
  <c r="F45" i="17"/>
  <c r="D44" i="17"/>
  <c r="C44" i="17"/>
  <c r="E43" i="17"/>
  <c r="F43" i="17" s="1"/>
  <c r="E42" i="17"/>
  <c r="F42" i="17" s="1"/>
  <c r="D36" i="17"/>
  <c r="C36" i="17"/>
  <c r="D35" i="17"/>
  <c r="C35" i="17"/>
  <c r="E35" i="17" s="1"/>
  <c r="F35" i="17" s="1"/>
  <c r="D30" i="17"/>
  <c r="D31" i="17" s="1"/>
  <c r="C30" i="17"/>
  <c r="C31" i="17" s="1"/>
  <c r="D29" i="17"/>
  <c r="C29" i="17"/>
  <c r="E28" i="17"/>
  <c r="F28" i="17" s="1"/>
  <c r="E27" i="17"/>
  <c r="F27" i="17" s="1"/>
  <c r="D24" i="17"/>
  <c r="C24" i="17"/>
  <c r="D23" i="17"/>
  <c r="C23" i="17"/>
  <c r="E22" i="17"/>
  <c r="F22" i="17" s="1"/>
  <c r="D20" i="17"/>
  <c r="C20" i="17"/>
  <c r="E19" i="17"/>
  <c r="F19" i="17" s="1"/>
  <c r="E18" i="17"/>
  <c r="F18" i="17" s="1"/>
  <c r="D17" i="17"/>
  <c r="C17" i="17"/>
  <c r="E16" i="17"/>
  <c r="F16" i="17" s="1"/>
  <c r="E15" i="17"/>
  <c r="F15" i="17" s="1"/>
  <c r="D22" i="16"/>
  <c r="C22" i="16"/>
  <c r="F21" i="16"/>
  <c r="E21" i="16"/>
  <c r="F20" i="16"/>
  <c r="E20" i="16"/>
  <c r="D17" i="16"/>
  <c r="C17" i="16"/>
  <c r="E16" i="16"/>
  <c r="F16" i="16" s="1"/>
  <c r="D13" i="16"/>
  <c r="E13" i="16" s="1"/>
  <c r="F13" i="16" s="1"/>
  <c r="C13" i="16"/>
  <c r="F12" i="16"/>
  <c r="E12" i="16"/>
  <c r="D107" i="15"/>
  <c r="E107" i="15" s="1"/>
  <c r="C107" i="15"/>
  <c r="E106" i="15"/>
  <c r="F106" i="15" s="1"/>
  <c r="E105" i="15"/>
  <c r="F105" i="15" s="1"/>
  <c r="F104" i="15"/>
  <c r="E104" i="15"/>
  <c r="D100" i="15"/>
  <c r="C100" i="15"/>
  <c r="E99" i="15"/>
  <c r="F99" i="15" s="1"/>
  <c r="F98" i="15"/>
  <c r="E98" i="15"/>
  <c r="E97" i="15"/>
  <c r="F97" i="15" s="1"/>
  <c r="E96" i="15"/>
  <c r="F96" i="15" s="1"/>
  <c r="E95" i="15"/>
  <c r="F95" i="15" s="1"/>
  <c r="D92" i="15"/>
  <c r="E92" i="15" s="1"/>
  <c r="C92" i="15"/>
  <c r="E91" i="15"/>
  <c r="F91" i="15" s="1"/>
  <c r="F90" i="15"/>
  <c r="E90" i="15"/>
  <c r="E89" i="15"/>
  <c r="F89" i="15" s="1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E69" i="15"/>
  <c r="F69" i="15" s="1"/>
  <c r="E68" i="15"/>
  <c r="F68" i="15" s="1"/>
  <c r="D65" i="15"/>
  <c r="C65" i="15"/>
  <c r="E65" i="15" s="1"/>
  <c r="E64" i="15"/>
  <c r="F64" i="15" s="1"/>
  <c r="E63" i="15"/>
  <c r="F63" i="15" s="1"/>
  <c r="D60" i="15"/>
  <c r="C60" i="15"/>
  <c r="E59" i="15"/>
  <c r="F59" i="15" s="1"/>
  <c r="E58" i="15"/>
  <c r="D55" i="15"/>
  <c r="E55" i="15" s="1"/>
  <c r="C55" i="15"/>
  <c r="F55" i="15" s="1"/>
  <c r="F54" i="15"/>
  <c r="E54" i="15"/>
  <c r="F53" i="15"/>
  <c r="E53" i="15"/>
  <c r="D50" i="15"/>
  <c r="C50" i="15"/>
  <c r="E50" i="15" s="1"/>
  <c r="E49" i="15"/>
  <c r="F49" i="15" s="1"/>
  <c r="E48" i="15"/>
  <c r="F48" i="15" s="1"/>
  <c r="D45" i="15"/>
  <c r="C45" i="15"/>
  <c r="E45" i="15" s="1"/>
  <c r="E44" i="15"/>
  <c r="F44" i="15" s="1"/>
  <c r="E43" i="15"/>
  <c r="F43" i="15" s="1"/>
  <c r="D37" i="15"/>
  <c r="C37" i="15"/>
  <c r="E37" i="15" s="1"/>
  <c r="F37" i="15" s="1"/>
  <c r="F36" i="15"/>
  <c r="E36" i="15"/>
  <c r="F35" i="15"/>
  <c r="E35" i="15"/>
  <c r="E34" i="15"/>
  <c r="F34" i="15" s="1"/>
  <c r="E33" i="15"/>
  <c r="F33" i="15" s="1"/>
  <c r="D30" i="15"/>
  <c r="E30" i="15" s="1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E20" i="15"/>
  <c r="F20" i="15" s="1"/>
  <c r="F19" i="15"/>
  <c r="E19" i="15"/>
  <c r="D16" i="15"/>
  <c r="C16" i="15"/>
  <c r="F15" i="15"/>
  <c r="E15" i="15"/>
  <c r="F14" i="15"/>
  <c r="E14" i="15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/>
  <c r="F36" i="14" s="1"/>
  <c r="F38" i="14" s="1"/>
  <c r="F40" i="14" s="1"/>
  <c r="E17" i="14"/>
  <c r="E31" i="14" s="1"/>
  <c r="D17" i="14"/>
  <c r="D33" i="14" s="1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D78" i="13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E50" i="13" s="1"/>
  <c r="D55" i="13"/>
  <c r="C55" i="13"/>
  <c r="E54" i="13"/>
  <c r="D54" i="13"/>
  <c r="C54" i="13"/>
  <c r="C50" i="13"/>
  <c r="E48" i="13"/>
  <c r="E46" i="13"/>
  <c r="E59" i="13" s="1"/>
  <c r="D46" i="13"/>
  <c r="D59" i="13" s="1"/>
  <c r="D61" i="13" s="1"/>
  <c r="C46" i="13"/>
  <c r="C59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D13" i="13"/>
  <c r="D25" i="13" s="1"/>
  <c r="C13" i="13"/>
  <c r="D47" i="12"/>
  <c r="C47" i="12"/>
  <c r="F46" i="12"/>
  <c r="E46" i="12"/>
  <c r="E45" i="12"/>
  <c r="F45" i="12" s="1"/>
  <c r="D40" i="12"/>
  <c r="C40" i="12"/>
  <c r="E39" i="12"/>
  <c r="F39" i="12" s="1"/>
  <c r="E38" i="12"/>
  <c r="F38" i="12" s="1"/>
  <c r="E37" i="12"/>
  <c r="F37" i="12" s="1"/>
  <c r="D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F16" i="12"/>
  <c r="E16" i="12"/>
  <c r="D15" i="12"/>
  <c r="D17" i="12" s="1"/>
  <c r="C15" i="12"/>
  <c r="C17" i="12" s="1"/>
  <c r="E17" i="12" s="1"/>
  <c r="F14" i="12"/>
  <c r="E14" i="12"/>
  <c r="E13" i="12"/>
  <c r="F13" i="12" s="1"/>
  <c r="E12" i="12"/>
  <c r="F12" i="12" s="1"/>
  <c r="E11" i="12"/>
  <c r="F11" i="12" s="1"/>
  <c r="D73" i="11"/>
  <c r="C73" i="11"/>
  <c r="E73" i="11" s="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C61" i="11"/>
  <c r="C65" i="11" s="1"/>
  <c r="E60" i="11"/>
  <c r="F60" i="11" s="1"/>
  <c r="F59" i="11"/>
  <c r="E59" i="11"/>
  <c r="D56" i="11"/>
  <c r="E56" i="11" s="1"/>
  <c r="F56" i="11" s="1"/>
  <c r="C56" i="11"/>
  <c r="E55" i="11"/>
  <c r="F55" i="11" s="1"/>
  <c r="E54" i="11"/>
  <c r="F54" i="11" s="1"/>
  <c r="F53" i="11"/>
  <c r="E53" i="11"/>
  <c r="E52" i="11"/>
  <c r="F52" i="11" s="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E38" i="11" s="1"/>
  <c r="C38" i="11"/>
  <c r="E37" i="11"/>
  <c r="F37" i="11" s="1"/>
  <c r="E36" i="11"/>
  <c r="F36" i="11" s="1"/>
  <c r="E33" i="11"/>
  <c r="F33" i="11" s="1"/>
  <c r="F32" i="11"/>
  <c r="E32" i="11"/>
  <c r="F31" i="11"/>
  <c r="E31" i="11"/>
  <c r="D29" i="11"/>
  <c r="E29" i="11" s="1"/>
  <c r="C29" i="11"/>
  <c r="F29" i="11" s="1"/>
  <c r="F28" i="11"/>
  <c r="E28" i="11"/>
  <c r="F27" i="11"/>
  <c r="E27" i="11"/>
  <c r="F26" i="11"/>
  <c r="E26" i="11"/>
  <c r="E25" i="11"/>
  <c r="F25" i="11" s="1"/>
  <c r="D22" i="11"/>
  <c r="C22" i="11"/>
  <c r="E21" i="11"/>
  <c r="F21" i="11" s="1"/>
  <c r="E20" i="11"/>
  <c r="F20" i="11" s="1"/>
  <c r="E19" i="11"/>
  <c r="F19" i="11" s="1"/>
  <c r="F18" i="11"/>
  <c r="E18" i="11"/>
  <c r="E17" i="11"/>
  <c r="F17" i="11" s="1"/>
  <c r="E16" i="11"/>
  <c r="F16" i="11" s="1"/>
  <c r="E15" i="11"/>
  <c r="F15" i="11" s="1"/>
  <c r="F14" i="11"/>
  <c r="E14" i="11"/>
  <c r="E13" i="11"/>
  <c r="F13" i="11" s="1"/>
  <c r="D120" i="10"/>
  <c r="C120" i="10"/>
  <c r="F120" i="10" s="1"/>
  <c r="D119" i="10"/>
  <c r="E119" i="10" s="1"/>
  <c r="C119" i="10"/>
  <c r="F119" i="10" s="1"/>
  <c r="D118" i="10"/>
  <c r="C118" i="10"/>
  <c r="F118" i="10" s="1"/>
  <c r="F117" i="10"/>
  <c r="D117" i="10"/>
  <c r="E117" i="10" s="1"/>
  <c r="C117" i="10"/>
  <c r="D116" i="10"/>
  <c r="C116" i="10"/>
  <c r="F116" i="10" s="1"/>
  <c r="D115" i="10"/>
  <c r="E115" i="10" s="1"/>
  <c r="C115" i="10"/>
  <c r="F115" i="10" s="1"/>
  <c r="D114" i="10"/>
  <c r="C114" i="10"/>
  <c r="D113" i="10"/>
  <c r="C113" i="10"/>
  <c r="F113" i="10" s="1"/>
  <c r="D112" i="10"/>
  <c r="C112" i="10"/>
  <c r="F112" i="10" s="1"/>
  <c r="D108" i="10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D95" i="10"/>
  <c r="E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/>
  <c r="C36" i="10"/>
  <c r="F36" i="10" s="1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 s="1"/>
  <c r="F23" i="10"/>
  <c r="D23" i="10"/>
  <c r="E23" i="10" s="1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D205" i="9"/>
  <c r="E205" i="9"/>
  <c r="C205" i="9"/>
  <c r="D204" i="9"/>
  <c r="E204" i="9" s="1"/>
  <c r="C204" i="9"/>
  <c r="D203" i="9"/>
  <c r="E203" i="9"/>
  <c r="C203" i="9"/>
  <c r="D202" i="9"/>
  <c r="C202" i="9"/>
  <c r="E202" i="9" s="1"/>
  <c r="D201" i="9"/>
  <c r="C201" i="9"/>
  <c r="D200" i="9"/>
  <c r="E200" i="9" s="1"/>
  <c r="C200" i="9"/>
  <c r="D199" i="9"/>
  <c r="C199" i="9"/>
  <c r="D198" i="9"/>
  <c r="D207" i="9" s="1"/>
  <c r="C198" i="9"/>
  <c r="E198" i="9" s="1"/>
  <c r="F198" i="9" s="1"/>
  <c r="D193" i="9"/>
  <c r="C193" i="9"/>
  <c r="E193" i="9" s="1"/>
  <c r="D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E185" i="9"/>
  <c r="F185" i="9" s="1"/>
  <c r="F184" i="9"/>
  <c r="E184" i="9"/>
  <c r="F183" i="9"/>
  <c r="E183" i="9"/>
  <c r="F180" i="9"/>
  <c r="D180" i="9"/>
  <c r="E180" i="9" s="1"/>
  <c r="C180" i="9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1" i="9" s="1"/>
  <c r="F140" i="9"/>
  <c r="D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F121" i="9"/>
  <c r="E121" i="9"/>
  <c r="E120" i="9"/>
  <c r="F120" i="9" s="1"/>
  <c r="E119" i="9"/>
  <c r="F119" i="9" s="1"/>
  <c r="E118" i="9"/>
  <c r="F118" i="9" s="1"/>
  <c r="D115" i="9"/>
  <c r="C115" i="9"/>
  <c r="D114" i="9"/>
  <c r="C114" i="9"/>
  <c r="E113" i="9"/>
  <c r="F113" i="9" s="1"/>
  <c r="E112" i="9"/>
  <c r="F112" i="9" s="1"/>
  <c r="E111" i="9"/>
  <c r="F111" i="9" s="1"/>
  <c r="E110" i="9"/>
  <c r="F110" i="9" s="1"/>
  <c r="F109" i="9"/>
  <c r="E109" i="9"/>
  <c r="E108" i="9"/>
  <c r="F108" i="9" s="1"/>
  <c r="E107" i="9"/>
  <c r="F107" i="9" s="1"/>
  <c r="E106" i="9"/>
  <c r="F106" i="9" s="1"/>
  <c r="F105" i="9"/>
  <c r="E105" i="9"/>
  <c r="D102" i="9"/>
  <c r="C102" i="9"/>
  <c r="E102" i="9" s="1"/>
  <c r="D101" i="9"/>
  <c r="E101" i="9" s="1"/>
  <c r="F101" i="9" s="1"/>
  <c r="C101" i="9"/>
  <c r="E100" i="9"/>
  <c r="F100" i="9" s="1"/>
  <c r="E99" i="9"/>
  <c r="F99" i="9" s="1"/>
  <c r="E98" i="9"/>
  <c r="F98" i="9" s="1"/>
  <c r="F97" i="9"/>
  <c r="E97" i="9"/>
  <c r="E96" i="9"/>
  <c r="F96" i="9" s="1"/>
  <c r="E95" i="9"/>
  <c r="F95" i="9" s="1"/>
  <c r="E94" i="9"/>
  <c r="F94" i="9" s="1"/>
  <c r="E93" i="9"/>
  <c r="F93" i="9" s="1"/>
  <c r="E92" i="9"/>
  <c r="F92" i="9" s="1"/>
  <c r="D89" i="9"/>
  <c r="C89" i="9"/>
  <c r="F89" i="9" s="1"/>
  <c r="F88" i="9"/>
  <c r="D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 s="1"/>
  <c r="E73" i="9"/>
  <c r="F73" i="9" s="1"/>
  <c r="E72" i="9"/>
  <c r="F72" i="9" s="1"/>
  <c r="E71" i="9"/>
  <c r="F71" i="9" s="1"/>
  <c r="E70" i="9"/>
  <c r="F70" i="9" s="1"/>
  <c r="F69" i="9"/>
  <c r="E69" i="9"/>
  <c r="E68" i="9"/>
  <c r="F68" i="9" s="1"/>
  <c r="E67" i="9"/>
  <c r="F67" i="9" s="1"/>
  <c r="E66" i="9"/>
  <c r="F66" i="9" s="1"/>
  <c r="D63" i="9"/>
  <c r="C63" i="9"/>
  <c r="F63" i="9" s="1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E50" i="9" s="1"/>
  <c r="D49" i="9"/>
  <c r="E49" i="9" s="1"/>
  <c r="F49" i="9" s="1"/>
  <c r="C49" i="9"/>
  <c r="E48" i="9"/>
  <c r="F48" i="9" s="1"/>
  <c r="E47" i="9"/>
  <c r="F47" i="9" s="1"/>
  <c r="E46" i="9"/>
  <c r="F46" i="9" s="1"/>
  <c r="F45" i="9"/>
  <c r="E45" i="9"/>
  <c r="E44" i="9"/>
  <c r="F44" i="9" s="1"/>
  <c r="E43" i="9"/>
  <c r="F43" i="9" s="1"/>
  <c r="E42" i="9"/>
  <c r="F42" i="9" s="1"/>
  <c r="E41" i="9"/>
  <c r="F41" i="9" s="1"/>
  <c r="E40" i="9"/>
  <c r="F40" i="9" s="1"/>
  <c r="D37" i="9"/>
  <c r="E37" i="9" s="1"/>
  <c r="C37" i="9"/>
  <c r="F37" i="9" s="1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F17" i="9"/>
  <c r="E17" i="9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D160" i="8" s="1"/>
  <c r="C164" i="8"/>
  <c r="C160" i="8" s="1"/>
  <c r="C166" i="8" s="1"/>
  <c r="E162" i="8"/>
  <c r="D162" i="8"/>
  <c r="C162" i="8"/>
  <c r="E161" i="8"/>
  <c r="D161" i="8"/>
  <c r="C161" i="8"/>
  <c r="E160" i="8"/>
  <c r="E147" i="8"/>
  <c r="D147" i="8"/>
  <c r="D143" i="8" s="1"/>
  <c r="D149" i="8" s="1"/>
  <c r="D138" i="8" s="1"/>
  <c r="C147" i="8"/>
  <c r="C143" i="8" s="1"/>
  <c r="E145" i="8"/>
  <c r="D145" i="8"/>
  <c r="C145" i="8"/>
  <c r="E144" i="8"/>
  <c r="D144" i="8"/>
  <c r="C144" i="8"/>
  <c r="E143" i="8"/>
  <c r="E149" i="8" s="1"/>
  <c r="E126" i="8"/>
  <c r="D126" i="8"/>
  <c r="C126" i="8"/>
  <c r="E119" i="8"/>
  <c r="D119" i="8"/>
  <c r="C119" i="8"/>
  <c r="E108" i="8"/>
  <c r="D108" i="8"/>
  <c r="C108" i="8"/>
  <c r="E107" i="8"/>
  <c r="D107" i="8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E79" i="8" s="1"/>
  <c r="D84" i="8"/>
  <c r="C84" i="8"/>
  <c r="E83" i="8"/>
  <c r="D83" i="8"/>
  <c r="D79" i="8" s="1"/>
  <c r="C83" i="8"/>
  <c r="E75" i="8"/>
  <c r="E88" i="8"/>
  <c r="E90" i="8" s="1"/>
  <c r="E86" i="8" s="1"/>
  <c r="D75" i="8"/>
  <c r="D88" i="8" s="1"/>
  <c r="C75" i="8"/>
  <c r="C88" i="8"/>
  <c r="C90" i="8"/>
  <c r="C86" i="8" s="1"/>
  <c r="E74" i="8"/>
  <c r="D74" i="8"/>
  <c r="C74" i="8"/>
  <c r="E67" i="8"/>
  <c r="D67" i="8"/>
  <c r="C67" i="8"/>
  <c r="E38" i="8"/>
  <c r="D38" i="8"/>
  <c r="D53" i="8" s="1"/>
  <c r="C38" i="8"/>
  <c r="C57" i="8" s="1"/>
  <c r="C62" i="8"/>
  <c r="E33" i="8"/>
  <c r="E34" i="8" s="1"/>
  <c r="D33" i="8"/>
  <c r="D34" i="8" s="1"/>
  <c r="E26" i="8"/>
  <c r="D26" i="8"/>
  <c r="C26" i="8"/>
  <c r="E13" i="8"/>
  <c r="E25" i="8"/>
  <c r="E27" i="8" s="1"/>
  <c r="D13" i="8"/>
  <c r="D25" i="8" s="1"/>
  <c r="D27" i="8" s="1"/>
  <c r="C13" i="8"/>
  <c r="C25" i="8" s="1"/>
  <c r="F186" i="7"/>
  <c r="E186" i="7"/>
  <c r="D183" i="7"/>
  <c r="C183" i="7"/>
  <c r="E183" i="7" s="1"/>
  <c r="F183" i="7" s="1"/>
  <c r="E182" i="7"/>
  <c r="F182" i="7" s="1"/>
  <c r="E181" i="7"/>
  <c r="F181" i="7" s="1"/>
  <c r="F180" i="7"/>
  <c r="E180" i="7"/>
  <c r="F179" i="7"/>
  <c r="E179" i="7"/>
  <c r="F178" i="7"/>
  <c r="E178" i="7"/>
  <c r="F177" i="7"/>
  <c r="E177" i="7"/>
  <c r="F176" i="7"/>
  <c r="E176" i="7"/>
  <c r="E175" i="7"/>
  <c r="F175" i="7" s="1"/>
  <c r="F174" i="7"/>
  <c r="E174" i="7"/>
  <c r="E173" i="7"/>
  <c r="F173" i="7" s="1"/>
  <c r="F172" i="7"/>
  <c r="E172" i="7"/>
  <c r="E171" i="7"/>
  <c r="F171" i="7" s="1"/>
  <c r="E170" i="7"/>
  <c r="F170" i="7" s="1"/>
  <c r="D167" i="7"/>
  <c r="E167" i="7" s="1"/>
  <c r="F167" i="7" s="1"/>
  <c r="C167" i="7"/>
  <c r="E166" i="7"/>
  <c r="F166" i="7" s="1"/>
  <c r="F165" i="7"/>
  <c r="E165" i="7"/>
  <c r="E164" i="7"/>
  <c r="F164" i="7" s="1"/>
  <c r="E163" i="7"/>
  <c r="F163" i="7"/>
  <c r="E162" i="7"/>
  <c r="F162" i="7" s="1"/>
  <c r="F161" i="7"/>
  <c r="E161" i="7"/>
  <c r="E160" i="7"/>
  <c r="F160" i="7" s="1"/>
  <c r="E159" i="7"/>
  <c r="F159" i="7" s="1"/>
  <c r="F158" i="7"/>
  <c r="E158" i="7"/>
  <c r="E157" i="7"/>
  <c r="F157" i="7" s="1"/>
  <c r="E156" i="7"/>
  <c r="F156" i="7" s="1"/>
  <c r="E155" i="7"/>
  <c r="F155" i="7" s="1"/>
  <c r="E154" i="7"/>
  <c r="F154" i="7" s="1"/>
  <c r="F153" i="7"/>
  <c r="E153" i="7"/>
  <c r="E152" i="7"/>
  <c r="F152" i="7" s="1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E145" i="7"/>
  <c r="F145" i="7" s="1"/>
  <c r="E144" i="7"/>
  <c r="F144" i="7"/>
  <c r="F143" i="7"/>
  <c r="E143" i="7"/>
  <c r="E142" i="7"/>
  <c r="F142" i="7" s="1"/>
  <c r="E141" i="7"/>
  <c r="F141" i="7" s="1"/>
  <c r="E140" i="7"/>
  <c r="F140" i="7" s="1"/>
  <c r="E139" i="7"/>
  <c r="F139" i="7"/>
  <c r="E138" i="7"/>
  <c r="F138" i="7" s="1"/>
  <c r="E137" i="7"/>
  <c r="F137" i="7" s="1"/>
  <c r="F136" i="7"/>
  <c r="E136" i="7"/>
  <c r="E135" i="7"/>
  <c r="F135" i="7" s="1"/>
  <c r="E134" i="7"/>
  <c r="F134" i="7" s="1"/>
  <c r="E133" i="7"/>
  <c r="F133" i="7" s="1"/>
  <c r="D130" i="7"/>
  <c r="C130" i="7"/>
  <c r="E129" i="7"/>
  <c r="F129" i="7" s="1"/>
  <c r="E128" i="7"/>
  <c r="F128" i="7" s="1"/>
  <c r="E127" i="7"/>
  <c r="F127" i="7" s="1"/>
  <c r="E126" i="7"/>
  <c r="F126" i="7"/>
  <c r="F125" i="7"/>
  <c r="E125" i="7"/>
  <c r="E124" i="7"/>
  <c r="F124" i="7" s="1"/>
  <c r="D121" i="7"/>
  <c r="C121" i="7"/>
  <c r="F120" i="7"/>
  <c r="E120" i="7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E109" i="7"/>
  <c r="F109" i="7" s="1"/>
  <c r="F108" i="7"/>
  <c r="E108" i="7"/>
  <c r="E107" i="7"/>
  <c r="F107" i="7" s="1"/>
  <c r="E106" i="7"/>
  <c r="F106" i="7" s="1"/>
  <c r="E105" i="7"/>
  <c r="F105" i="7" s="1"/>
  <c r="E104" i="7"/>
  <c r="F104" i="7" s="1"/>
  <c r="E103" i="7"/>
  <c r="F103" i="7" s="1"/>
  <c r="F93" i="7"/>
  <c r="E93" i="7"/>
  <c r="D90" i="7"/>
  <c r="C90" i="7"/>
  <c r="E89" i="7"/>
  <c r="F89" i="7" s="1"/>
  <c r="E88" i="7"/>
  <c r="F88" i="7" s="1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/>
  <c r="E71" i="7"/>
  <c r="F71" i="7" s="1"/>
  <c r="E70" i="7"/>
  <c r="F70" i="7" s="1"/>
  <c r="E69" i="7"/>
  <c r="F69" i="7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C59" i="7"/>
  <c r="F58" i="7"/>
  <c r="E58" i="7"/>
  <c r="E57" i="7"/>
  <c r="F57" i="7" s="1"/>
  <c r="E56" i="7"/>
  <c r="F56" i="7" s="1"/>
  <c r="E55" i="7"/>
  <c r="F55" i="7" s="1"/>
  <c r="F54" i="7"/>
  <c r="E54" i="7"/>
  <c r="E53" i="7"/>
  <c r="F53" i="7" s="1"/>
  <c r="E50" i="7"/>
  <c r="F50" i="7" s="1"/>
  <c r="E47" i="7"/>
  <c r="F47" i="7" s="1"/>
  <c r="F44" i="7"/>
  <c r="E44" i="7"/>
  <c r="D41" i="7"/>
  <c r="C41" i="7"/>
  <c r="E40" i="7"/>
  <c r="F40" i="7" s="1"/>
  <c r="E39" i="7"/>
  <c r="F39" i="7" s="1"/>
  <c r="F38" i="7"/>
  <c r="E38" i="7"/>
  <c r="D35" i="7"/>
  <c r="C35" i="7"/>
  <c r="E35" i="7" s="1"/>
  <c r="F35" i="7" s="1"/>
  <c r="E34" i="7"/>
  <c r="F34" i="7" s="1"/>
  <c r="E33" i="7"/>
  <c r="F33" i="7" s="1"/>
  <c r="D30" i="7"/>
  <c r="C30" i="7"/>
  <c r="F29" i="7"/>
  <c r="E29" i="7"/>
  <c r="F28" i="7"/>
  <c r="E28" i="7"/>
  <c r="E27" i="7"/>
  <c r="F27" i="7" s="1"/>
  <c r="D24" i="7"/>
  <c r="E24" i="7" s="1"/>
  <c r="F24" i="7" s="1"/>
  <c r="C24" i="7"/>
  <c r="F23" i="7"/>
  <c r="E23" i="7"/>
  <c r="E22" i="7"/>
  <c r="F22" i="7" s="1"/>
  <c r="E21" i="7"/>
  <c r="F21" i="7" s="1"/>
  <c r="D18" i="7"/>
  <c r="C18" i="7"/>
  <c r="F17" i="7"/>
  <c r="E17" i="7"/>
  <c r="E16" i="7"/>
  <c r="F16" i="7" s="1"/>
  <c r="E15" i="7"/>
  <c r="F15" i="7" s="1"/>
  <c r="D179" i="6"/>
  <c r="C179" i="6"/>
  <c r="F178" i="6"/>
  <c r="E178" i="6"/>
  <c r="F177" i="6"/>
  <c r="E177" i="6"/>
  <c r="E176" i="6"/>
  <c r="F176" i="6" s="1"/>
  <c r="E175" i="6"/>
  <c r="F175" i="6" s="1"/>
  <c r="E174" i="6"/>
  <c r="F174" i="6" s="1"/>
  <c r="F173" i="6"/>
  <c r="E173" i="6"/>
  <c r="E172" i="6"/>
  <c r="F172" i="6" s="1"/>
  <c r="F171" i="6"/>
  <c r="E171" i="6"/>
  <c r="E170" i="6"/>
  <c r="F170" i="6" s="1"/>
  <c r="E169" i="6"/>
  <c r="F169" i="6" s="1"/>
  <c r="E168" i="6"/>
  <c r="F168" i="6" s="1"/>
  <c r="D166" i="6"/>
  <c r="C166" i="6"/>
  <c r="E165" i="6"/>
  <c r="F165" i="6" s="1"/>
  <c r="F164" i="6"/>
  <c r="E164" i="6"/>
  <c r="E163" i="6"/>
  <c r="F163" i="6" s="1"/>
  <c r="E162" i="6"/>
  <c r="F162" i="6" s="1"/>
  <c r="F161" i="6"/>
  <c r="E161" i="6"/>
  <c r="E160" i="6"/>
  <c r="F160" i="6" s="1"/>
  <c r="E159" i="6"/>
  <c r="F159" i="6" s="1"/>
  <c r="F158" i="6"/>
  <c r="E158" i="6"/>
  <c r="E157" i="6"/>
  <c r="F157" i="6" s="1"/>
  <c r="E156" i="6"/>
  <c r="F156" i="6" s="1"/>
  <c r="E155" i="6"/>
  <c r="F155" i="6" s="1"/>
  <c r="D153" i="6"/>
  <c r="C153" i="6"/>
  <c r="E152" i="6"/>
  <c r="F152" i="6" s="1"/>
  <c r="F151" i="6"/>
  <c r="E151" i="6"/>
  <c r="F150" i="6"/>
  <c r="E150" i="6"/>
  <c r="F149" i="6"/>
  <c r="E149" i="6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E137" i="6" s="1"/>
  <c r="C137" i="6"/>
  <c r="E136" i="6"/>
  <c r="F136" i="6" s="1"/>
  <c r="F135" i="6"/>
  <c r="E135" i="6"/>
  <c r="E134" i="6"/>
  <c r="F134" i="6" s="1"/>
  <c r="E133" i="6"/>
  <c r="F133" i="6" s="1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E124" i="6" s="1"/>
  <c r="C124" i="6"/>
  <c r="E123" i="6"/>
  <c r="F123" i="6" s="1"/>
  <c r="F122" i="6"/>
  <c r="E122" i="6"/>
  <c r="E121" i="6"/>
  <c r="F121" i="6" s="1"/>
  <c r="E120" i="6"/>
  <c r="F120" i="6" s="1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E113" i="6"/>
  <c r="F113" i="6" s="1"/>
  <c r="D111" i="6"/>
  <c r="C111" i="6"/>
  <c r="E110" i="6"/>
  <c r="F110" i="6" s="1"/>
  <c r="F109" i="6"/>
  <c r="E109" i="6"/>
  <c r="E108" i="6"/>
  <c r="F108" i="6" s="1"/>
  <c r="F107" i="6"/>
  <c r="E107" i="6"/>
  <c r="F106" i="6"/>
  <c r="E106" i="6"/>
  <c r="E105" i="6"/>
  <c r="F105" i="6" s="1"/>
  <c r="E104" i="6"/>
  <c r="F104" i="6" s="1"/>
  <c r="F103" i="6"/>
  <c r="E103" i="6"/>
  <c r="F102" i="6"/>
  <c r="E102" i="6"/>
  <c r="E101" i="6"/>
  <c r="F101" i="6" s="1"/>
  <c r="E100" i="6"/>
  <c r="F100" i="6" s="1"/>
  <c r="D94" i="6"/>
  <c r="C94" i="6"/>
  <c r="D93" i="6"/>
  <c r="C93" i="6"/>
  <c r="F93" i="6" s="1"/>
  <c r="D92" i="6"/>
  <c r="C92" i="6"/>
  <c r="D91" i="6"/>
  <c r="C91" i="6"/>
  <c r="D90" i="6"/>
  <c r="E90" i="6" s="1"/>
  <c r="C90" i="6"/>
  <c r="D89" i="6"/>
  <c r="E89" i="6" s="1"/>
  <c r="F89" i="6" s="1"/>
  <c r="C89" i="6"/>
  <c r="D88" i="6"/>
  <c r="E88" i="6"/>
  <c r="C88" i="6"/>
  <c r="D87" i="6"/>
  <c r="E87" i="6" s="1"/>
  <c r="C87" i="6"/>
  <c r="F87" i="6" s="1"/>
  <c r="D86" i="6"/>
  <c r="E86" i="6" s="1"/>
  <c r="C86" i="6"/>
  <c r="D85" i="6"/>
  <c r="C85" i="6"/>
  <c r="D84" i="6"/>
  <c r="C84" i="6"/>
  <c r="D81" i="6"/>
  <c r="E81" i="6"/>
  <c r="F81" i="6" s="1"/>
  <c r="C81" i="6"/>
  <c r="E80" i="6"/>
  <c r="F80" i="6" s="1"/>
  <c r="F79" i="6"/>
  <c r="E79" i="6"/>
  <c r="E78" i="6"/>
  <c r="F78" i="6" s="1"/>
  <c r="E77" i="6"/>
  <c r="F77" i="6" s="1"/>
  <c r="E76" i="6"/>
  <c r="F76" i="6" s="1"/>
  <c r="E75" i="6"/>
  <c r="F75" i="6" s="1"/>
  <c r="F74" i="6"/>
  <c r="E74" i="6"/>
  <c r="F73" i="6"/>
  <c r="E73" i="6"/>
  <c r="F72" i="6"/>
  <c r="E72" i="6"/>
  <c r="E71" i="6"/>
  <c r="F71" i="6" s="1"/>
  <c r="E70" i="6"/>
  <c r="F70" i="6" s="1"/>
  <c r="D68" i="6"/>
  <c r="E68" i="6" s="1"/>
  <c r="F68" i="6" s="1"/>
  <c r="C68" i="6"/>
  <c r="E67" i="6"/>
  <c r="F67" i="6" s="1"/>
  <c r="F66" i="6"/>
  <c r="E66" i="6"/>
  <c r="E65" i="6"/>
  <c r="F65" i="6" s="1"/>
  <c r="F64" i="6"/>
  <c r="E64" i="6"/>
  <c r="E63" i="6"/>
  <c r="F63" i="6" s="1"/>
  <c r="E62" i="6"/>
  <c r="F62" i="6" s="1"/>
  <c r="E61" i="6"/>
  <c r="F61" i="6" s="1"/>
  <c r="F60" i="6"/>
  <c r="E60" i="6"/>
  <c r="E59" i="6"/>
  <c r="F59" i="6" s="1"/>
  <c r="F58" i="6"/>
  <c r="E58" i="6"/>
  <c r="F57" i="6"/>
  <c r="E57" i="6"/>
  <c r="D51" i="6"/>
  <c r="E51" i="6" s="1"/>
  <c r="C51" i="6"/>
  <c r="F50" i="6"/>
  <c r="D50" i="6"/>
  <c r="E50" i="6" s="1"/>
  <c r="C50" i="6"/>
  <c r="D49" i="6"/>
  <c r="C49" i="6"/>
  <c r="D48" i="6"/>
  <c r="C48" i="6"/>
  <c r="D47" i="6"/>
  <c r="C47" i="6"/>
  <c r="D46" i="6"/>
  <c r="E46" i="6" s="1"/>
  <c r="F46" i="6" s="1"/>
  <c r="C46" i="6"/>
  <c r="D45" i="6"/>
  <c r="C45" i="6"/>
  <c r="D44" i="6"/>
  <c r="C44" i="6"/>
  <c r="F44" i="6" s="1"/>
  <c r="D43" i="6"/>
  <c r="E43" i="6" s="1"/>
  <c r="C43" i="6"/>
  <c r="D42" i="6"/>
  <c r="C42" i="6"/>
  <c r="D41" i="6"/>
  <c r="C41" i="6"/>
  <c r="D38" i="6"/>
  <c r="E38" i="6"/>
  <c r="C38" i="6"/>
  <c r="E37" i="6"/>
  <c r="F37" i="6" s="1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F29" i="6"/>
  <c r="E29" i="6"/>
  <c r="E28" i="6"/>
  <c r="F28" i="6" s="1"/>
  <c r="F27" i="6"/>
  <c r="E27" i="6"/>
  <c r="D25" i="6"/>
  <c r="E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F15" i="6"/>
  <c r="E15" i="6"/>
  <c r="F14" i="6"/>
  <c r="E14" i="6"/>
  <c r="E51" i="5"/>
  <c r="F51" i="5" s="1"/>
  <c r="D48" i="5"/>
  <c r="C48" i="5"/>
  <c r="F47" i="5"/>
  <c r="E47" i="5"/>
  <c r="E46" i="5"/>
  <c r="F46" i="5" s="1"/>
  <c r="D41" i="5"/>
  <c r="E41" i="5"/>
  <c r="F41" i="5" s="1"/>
  <c r="C41" i="5"/>
  <c r="E40" i="5"/>
  <c r="F40" i="5" s="1"/>
  <c r="E39" i="5"/>
  <c r="F39" i="5" s="1"/>
  <c r="E38" i="5"/>
  <c r="F38" i="5" s="1"/>
  <c r="D33" i="5"/>
  <c r="E33" i="5" s="1"/>
  <c r="F33" i="5" s="1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F25" i="5"/>
  <c r="E25" i="5"/>
  <c r="E24" i="5"/>
  <c r="F24" i="5" s="1"/>
  <c r="E20" i="5"/>
  <c r="F20" i="5" s="1"/>
  <c r="E19" i="5"/>
  <c r="F19" i="5" s="1"/>
  <c r="E17" i="5"/>
  <c r="F17" i="5" s="1"/>
  <c r="D16" i="5"/>
  <c r="D18" i="5" s="1"/>
  <c r="D21" i="5" s="1"/>
  <c r="C16" i="5"/>
  <c r="C18" i="5" s="1"/>
  <c r="E18" i="5" s="1"/>
  <c r="F15" i="5"/>
  <c r="E15" i="5"/>
  <c r="F14" i="5"/>
  <c r="E14" i="5"/>
  <c r="F13" i="5"/>
  <c r="E13" i="5"/>
  <c r="E12" i="5"/>
  <c r="F12" i="5" s="1"/>
  <c r="D73" i="4"/>
  <c r="E73" i="4" s="1"/>
  <c r="C73" i="4"/>
  <c r="E72" i="4"/>
  <c r="F72" i="4" s="1"/>
  <c r="E71" i="4"/>
  <c r="F71" i="4" s="1"/>
  <c r="F70" i="4"/>
  <c r="E70" i="4"/>
  <c r="F67" i="4"/>
  <c r="E67" i="4"/>
  <c r="F64" i="4"/>
  <c r="E64" i="4"/>
  <c r="E63" i="4"/>
  <c r="F63" i="4" s="1"/>
  <c r="D61" i="4"/>
  <c r="D65" i="4"/>
  <c r="C61" i="4"/>
  <c r="C65" i="4" s="1"/>
  <c r="E60" i="4"/>
  <c r="F60" i="4" s="1"/>
  <c r="E59" i="4"/>
  <c r="F59" i="4" s="1"/>
  <c r="D56" i="4"/>
  <c r="C56" i="4"/>
  <c r="E55" i="4"/>
  <c r="F55" i="4" s="1"/>
  <c r="E54" i="4"/>
  <c r="F54" i="4" s="1"/>
  <c r="F53" i="4"/>
  <c r="E53" i="4"/>
  <c r="E52" i="4"/>
  <c r="F52" i="4" s="1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 s="1"/>
  <c r="C38" i="4"/>
  <c r="C41" i="4" s="1"/>
  <c r="E37" i="4"/>
  <c r="F37" i="4" s="1"/>
  <c r="F36" i="4"/>
  <c r="E36" i="4"/>
  <c r="E33" i="4"/>
  <c r="F33" i="4" s="1"/>
  <c r="F32" i="4"/>
  <c r="E32" i="4"/>
  <c r="F31" i="4"/>
  <c r="E31" i="4"/>
  <c r="D29" i="4"/>
  <c r="C29" i="4"/>
  <c r="F28" i="4"/>
  <c r="E28" i="4"/>
  <c r="F27" i="4"/>
  <c r="E27" i="4"/>
  <c r="E26" i="4"/>
  <c r="F26" i="4" s="1"/>
  <c r="F25" i="4"/>
  <c r="E25" i="4"/>
  <c r="D22" i="4"/>
  <c r="C22" i="4"/>
  <c r="E21" i="4"/>
  <c r="F21" i="4" s="1"/>
  <c r="E20" i="4"/>
  <c r="F20" i="4" s="1"/>
  <c r="E19" i="4"/>
  <c r="F19" i="4" s="1"/>
  <c r="F18" i="4"/>
  <c r="E18" i="4"/>
  <c r="F17" i="4"/>
  <c r="E17" i="4"/>
  <c r="E16" i="4"/>
  <c r="F16" i="4" s="1"/>
  <c r="E15" i="4"/>
  <c r="F15" i="4" s="1"/>
  <c r="F14" i="4"/>
  <c r="E14" i="4"/>
  <c r="F13" i="4"/>
  <c r="E13" i="4"/>
  <c r="C109" i="22"/>
  <c r="C108" i="22"/>
  <c r="E109" i="22"/>
  <c r="E108" i="22"/>
  <c r="D109" i="22"/>
  <c r="D22" i="22"/>
  <c r="C102" i="22"/>
  <c r="D111" i="22"/>
  <c r="C22" i="22"/>
  <c r="C35" i="22" s="1"/>
  <c r="D30" i="22"/>
  <c r="D36" i="22"/>
  <c r="D40" i="22"/>
  <c r="D46" i="22"/>
  <c r="F19" i="20"/>
  <c r="E43" i="20"/>
  <c r="D192" i="17"/>
  <c r="D193" i="17" s="1"/>
  <c r="D282" i="17" s="1"/>
  <c r="C22" i="19"/>
  <c r="E120" i="17"/>
  <c r="F120" i="17" s="1"/>
  <c r="E296" i="17"/>
  <c r="E297" i="17"/>
  <c r="E298" i="17"/>
  <c r="F298" i="17" s="1"/>
  <c r="D283" i="18"/>
  <c r="E283" i="18" s="1"/>
  <c r="C22" i="18"/>
  <c r="C284" i="18" s="1"/>
  <c r="C294" i="18"/>
  <c r="E32" i="18"/>
  <c r="E54" i="18"/>
  <c r="D65" i="18"/>
  <c r="D294" i="18" s="1"/>
  <c r="E294" i="18" s="1"/>
  <c r="E70" i="18"/>
  <c r="E21" i="18"/>
  <c r="C144" i="18"/>
  <c r="C163" i="18"/>
  <c r="D261" i="18"/>
  <c r="D189" i="18"/>
  <c r="E195" i="18"/>
  <c r="D210" i="18"/>
  <c r="D229" i="18"/>
  <c r="C239" i="18"/>
  <c r="E215" i="18"/>
  <c r="E216" i="18"/>
  <c r="D240" i="18"/>
  <c r="D222" i="18"/>
  <c r="D223" i="18"/>
  <c r="D217" i="18"/>
  <c r="D242" i="18"/>
  <c r="E302" i="18"/>
  <c r="C303" i="18"/>
  <c r="C306" i="18" s="1"/>
  <c r="C310" i="18" s="1"/>
  <c r="E220" i="18"/>
  <c r="D244" i="18"/>
  <c r="E244" i="18" s="1"/>
  <c r="D320" i="18"/>
  <c r="E265" i="18"/>
  <c r="E314" i="18"/>
  <c r="C222" i="18"/>
  <c r="C246" i="18" s="1"/>
  <c r="E231" i="18"/>
  <c r="E251" i="18"/>
  <c r="C32" i="17"/>
  <c r="C138" i="17"/>
  <c r="D32" i="17"/>
  <c r="E32" i="17" s="1"/>
  <c r="F32" i="17" s="1"/>
  <c r="E31" i="17"/>
  <c r="F31" i="17" s="1"/>
  <c r="D90" i="17"/>
  <c r="C103" i="17"/>
  <c r="E30" i="17"/>
  <c r="F30" i="17" s="1"/>
  <c r="E158" i="17"/>
  <c r="F158" i="17"/>
  <c r="D159" i="17"/>
  <c r="D172" i="17"/>
  <c r="D173" i="17" s="1"/>
  <c r="E227" i="17"/>
  <c r="D21" i="17"/>
  <c r="D49" i="17" s="1"/>
  <c r="D50" i="17" s="1"/>
  <c r="E88" i="17"/>
  <c r="F88" i="17" s="1"/>
  <c r="C193" i="17"/>
  <c r="C192" i="17"/>
  <c r="E123" i="17"/>
  <c r="F123" i="17" s="1"/>
  <c r="C124" i="17"/>
  <c r="D277" i="17"/>
  <c r="D261" i="17"/>
  <c r="D214" i="17"/>
  <c r="E188" i="17"/>
  <c r="F188" i="17" s="1"/>
  <c r="F227" i="17"/>
  <c r="E191" i="17"/>
  <c r="F191" i="17" s="1"/>
  <c r="C205" i="17"/>
  <c r="E226" i="17"/>
  <c r="F226" i="17" s="1"/>
  <c r="E250" i="17"/>
  <c r="F250" i="17" s="1"/>
  <c r="C261" i="17"/>
  <c r="C262" i="17"/>
  <c r="C264" i="17"/>
  <c r="C267" i="17"/>
  <c r="C271" i="17" s="1"/>
  <c r="C269" i="17"/>
  <c r="D290" i="17"/>
  <c r="D274" i="17"/>
  <c r="D200" i="17"/>
  <c r="D285" i="17"/>
  <c r="E285" i="17" s="1"/>
  <c r="F285" i="17" s="1"/>
  <c r="D269" i="17"/>
  <c r="D264" i="17"/>
  <c r="F296" i="17"/>
  <c r="F297" i="17"/>
  <c r="F107" i="15"/>
  <c r="I31" i="14"/>
  <c r="I17" i="14"/>
  <c r="D31" i="14"/>
  <c r="F31" i="14"/>
  <c r="H31" i="14"/>
  <c r="C33" i="14"/>
  <c r="E33" i="14"/>
  <c r="E36" i="14" s="1"/>
  <c r="E38" i="14" s="1"/>
  <c r="E40" i="14" s="1"/>
  <c r="G33" i="14"/>
  <c r="H17" i="14"/>
  <c r="D15" i="13"/>
  <c r="D24" i="13" s="1"/>
  <c r="D48" i="13"/>
  <c r="D42" i="13" s="1"/>
  <c r="C20" i="12"/>
  <c r="E20" i="12" s="1"/>
  <c r="F20" i="12" s="1"/>
  <c r="D20" i="12"/>
  <c r="E15" i="12"/>
  <c r="F15" i="12" s="1"/>
  <c r="D41" i="11"/>
  <c r="D65" i="11"/>
  <c r="E65" i="11"/>
  <c r="F65" i="11" s="1"/>
  <c r="E112" i="10"/>
  <c r="E113" i="10"/>
  <c r="F200" i="9"/>
  <c r="F202" i="9"/>
  <c r="F203" i="9"/>
  <c r="F204" i="9"/>
  <c r="F205" i="9"/>
  <c r="F206" i="9"/>
  <c r="E199" i="9"/>
  <c r="F199" i="9"/>
  <c r="C207" i="9"/>
  <c r="C208" i="9"/>
  <c r="D21" i="8"/>
  <c r="C157" i="8"/>
  <c r="C155" i="8"/>
  <c r="C153" i="8"/>
  <c r="C156" i="8"/>
  <c r="C154" i="8"/>
  <c r="C152" i="8"/>
  <c r="D140" i="8"/>
  <c r="D15" i="8"/>
  <c r="D24" i="8" s="1"/>
  <c r="C43" i="8"/>
  <c r="C53" i="8"/>
  <c r="D77" i="8"/>
  <c r="D71" i="8" s="1"/>
  <c r="C15" i="8"/>
  <c r="E15" i="8"/>
  <c r="C49" i="8"/>
  <c r="C77" i="8"/>
  <c r="C71" i="8" s="1"/>
  <c r="E77" i="8"/>
  <c r="E71" i="8" s="1"/>
  <c r="E90" i="7"/>
  <c r="F90" i="7" s="1"/>
  <c r="C95" i="7"/>
  <c r="E121" i="7"/>
  <c r="F121" i="7" s="1"/>
  <c r="E84" i="6"/>
  <c r="F84" i="6" s="1"/>
  <c r="E16" i="5"/>
  <c r="F16" i="5" s="1"/>
  <c r="F73" i="4"/>
  <c r="E22" i="4"/>
  <c r="F22" i="4"/>
  <c r="E38" i="4"/>
  <c r="F38" i="4" s="1"/>
  <c r="E61" i="4"/>
  <c r="F61" i="4" s="1"/>
  <c r="D56" i="22"/>
  <c r="D48" i="22"/>
  <c r="D38" i="22"/>
  <c r="D113" i="22"/>
  <c r="C45" i="22"/>
  <c r="C39" i="22"/>
  <c r="D110" i="22"/>
  <c r="D53" i="22"/>
  <c r="D45" i="22"/>
  <c r="D39" i="22"/>
  <c r="D35" i="22"/>
  <c r="D29" i="22"/>
  <c r="C168" i="18"/>
  <c r="C145" i="18"/>
  <c r="D66" i="18"/>
  <c r="E65" i="18"/>
  <c r="C223" i="18"/>
  <c r="C247" i="18" s="1"/>
  <c r="D234" i="18"/>
  <c r="D211" i="18"/>
  <c r="D235" i="18" s="1"/>
  <c r="E22" i="18"/>
  <c r="E172" i="17"/>
  <c r="F172" i="17" s="1"/>
  <c r="E124" i="17"/>
  <c r="F124" i="17" s="1"/>
  <c r="G36" i="14"/>
  <c r="G38" i="14" s="1"/>
  <c r="G40" i="14" s="1"/>
  <c r="D34" i="12"/>
  <c r="D75" i="11"/>
  <c r="D43" i="11"/>
  <c r="E24" i="8"/>
  <c r="E17" i="8"/>
  <c r="C24" i="8"/>
  <c r="C17" i="8"/>
  <c r="C112" i="8" s="1"/>
  <c r="C111" i="8" s="1"/>
  <c r="D20" i="8"/>
  <c r="D35" i="5"/>
  <c r="D43" i="5" s="1"/>
  <c r="C169" i="18"/>
  <c r="D42" i="12"/>
  <c r="D49" i="12" s="1"/>
  <c r="C28" i="8"/>
  <c r="E112" i="8"/>
  <c r="E111" i="8" s="1"/>
  <c r="E28" i="8"/>
  <c r="E99" i="8" s="1"/>
  <c r="E101" i="8" s="1"/>
  <c r="E98" i="8" s="1"/>
  <c r="C99" i="8"/>
  <c r="C101" i="8"/>
  <c r="C174" i="17" l="1"/>
  <c r="C290" i="17"/>
  <c r="D239" i="17"/>
  <c r="E239" i="17" s="1"/>
  <c r="F239" i="17" s="1"/>
  <c r="E274" i="17"/>
  <c r="F274" i="17" s="1"/>
  <c r="C139" i="17"/>
  <c r="E144" i="17"/>
  <c r="F144" i="17" s="1"/>
  <c r="C274" i="17"/>
  <c r="C37" i="17"/>
  <c r="C266" i="17"/>
  <c r="C125" i="17"/>
  <c r="F179" i="17"/>
  <c r="E159" i="17"/>
  <c r="F159" i="17" s="1"/>
  <c r="C200" i="17"/>
  <c r="C104" i="17"/>
  <c r="E136" i="17"/>
  <c r="F136" i="17" s="1"/>
  <c r="E52" i="17"/>
  <c r="F52" i="17" s="1"/>
  <c r="E280" i="17"/>
  <c r="F280" i="17" s="1"/>
  <c r="E294" i="17"/>
  <c r="F294" i="17" s="1"/>
  <c r="F205" i="17"/>
  <c r="C207" i="17"/>
  <c r="E229" i="17"/>
  <c r="E295" i="17"/>
  <c r="F295" i="17" s="1"/>
  <c r="E299" i="17"/>
  <c r="F299" i="17" s="1"/>
  <c r="C105" i="17"/>
  <c r="C106" i="17" s="1"/>
  <c r="E200" i="17"/>
  <c r="F200" i="17" s="1"/>
  <c r="E29" i="17"/>
  <c r="F29" i="17" s="1"/>
  <c r="D125" i="17"/>
  <c r="E223" i="17"/>
  <c r="F223" i="17" s="1"/>
  <c r="C272" i="17"/>
  <c r="C206" i="17"/>
  <c r="C175" i="17"/>
  <c r="C176" i="17" s="1"/>
  <c r="E23" i="17"/>
  <c r="F23" i="17" s="1"/>
  <c r="E44" i="17"/>
  <c r="F44" i="17" s="1"/>
  <c r="D205" i="17"/>
  <c r="E205" i="17" s="1"/>
  <c r="E47" i="17"/>
  <c r="F47" i="17" s="1"/>
  <c r="E24" i="17"/>
  <c r="F24" i="17" s="1"/>
  <c r="E95" i="17"/>
  <c r="F95" i="17" s="1"/>
  <c r="C111" i="17"/>
  <c r="E204" i="17"/>
  <c r="F204" i="17" s="1"/>
  <c r="E290" i="17"/>
  <c r="F290" i="17" s="1"/>
  <c r="E192" i="17"/>
  <c r="F192" i="17" s="1"/>
  <c r="E164" i="17"/>
  <c r="F164" i="17" s="1"/>
  <c r="C61" i="13"/>
  <c r="C57" i="13" s="1"/>
  <c r="E80" i="13"/>
  <c r="E77" i="13" s="1"/>
  <c r="D57" i="13"/>
  <c r="C211" i="18"/>
  <c r="C234" i="18"/>
  <c r="E234" i="18" s="1"/>
  <c r="C180" i="18"/>
  <c r="E210" i="18"/>
  <c r="E22" i="8"/>
  <c r="E21" i="8"/>
  <c r="E173" i="17"/>
  <c r="F173" i="17" s="1"/>
  <c r="D175" i="17"/>
  <c r="E94" i="17"/>
  <c r="F94" i="17"/>
  <c r="E135" i="17"/>
  <c r="F135" i="17" s="1"/>
  <c r="D278" i="17"/>
  <c r="D190" i="17"/>
  <c r="C98" i="8"/>
  <c r="C34" i="12"/>
  <c r="C42" i="12" s="1"/>
  <c r="C49" i="12" s="1"/>
  <c r="C53" i="22"/>
  <c r="D57" i="8"/>
  <c r="D62" i="8" s="1"/>
  <c r="E47" i="10"/>
  <c r="E107" i="10"/>
  <c r="D102" i="17"/>
  <c r="E101" i="17"/>
  <c r="F101" i="17" s="1"/>
  <c r="E129" i="17"/>
  <c r="F129" i="17" s="1"/>
  <c r="E40" i="18"/>
  <c r="E69" i="18"/>
  <c r="C320" i="18"/>
  <c r="E320" i="18" s="1"/>
  <c r="E316" i="18"/>
  <c r="C33" i="22"/>
  <c r="C23" i="22"/>
  <c r="C34" i="22"/>
  <c r="D254" i="17"/>
  <c r="C158" i="8"/>
  <c r="F40" i="20"/>
  <c r="D206" i="17"/>
  <c r="E206" i="17" s="1"/>
  <c r="F206" i="17" s="1"/>
  <c r="C41" i="20"/>
  <c r="E41" i="4"/>
  <c r="F41" i="4" s="1"/>
  <c r="E166" i="8"/>
  <c r="E63" i="9"/>
  <c r="E59" i="10"/>
  <c r="E53" i="17"/>
  <c r="F53" i="17" s="1"/>
  <c r="C189" i="18"/>
  <c r="E189" i="18" s="1"/>
  <c r="E188" i="18"/>
  <c r="C261" i="18"/>
  <c r="E261" i="18" s="1"/>
  <c r="E260" i="18"/>
  <c r="C245" i="18"/>
  <c r="C253" i="18" s="1"/>
  <c r="E280" i="18"/>
  <c r="C110" i="22"/>
  <c r="D43" i="8"/>
  <c r="F17" i="12"/>
  <c r="D267" i="17"/>
  <c r="C215" i="17"/>
  <c r="C190" i="17"/>
  <c r="C194" i="17"/>
  <c r="C195" i="17" s="1"/>
  <c r="E205" i="18"/>
  <c r="E111" i="6"/>
  <c r="F111" i="6" s="1"/>
  <c r="C27" i="8"/>
  <c r="C20" i="8" s="1"/>
  <c r="E207" i="9"/>
  <c r="F207" i="9" s="1"/>
  <c r="E61" i="13"/>
  <c r="E57" i="13" s="1"/>
  <c r="C21" i="17"/>
  <c r="C282" i="17"/>
  <c r="C281" i="17" s="1"/>
  <c r="C160" i="17"/>
  <c r="E48" i="17"/>
  <c r="F48" i="17" s="1"/>
  <c r="C90" i="17"/>
  <c r="C68" i="17"/>
  <c r="E66" i="17"/>
  <c r="F66" i="17" s="1"/>
  <c r="E165" i="18"/>
  <c r="C217" i="18"/>
  <c r="C241" i="18" s="1"/>
  <c r="E218" i="18"/>
  <c r="C64" i="19"/>
  <c r="C49" i="19"/>
  <c r="E33" i="22"/>
  <c r="E22" i="22"/>
  <c r="E23" i="22"/>
  <c r="E34" i="22"/>
  <c r="D49" i="8"/>
  <c r="D60" i="17"/>
  <c r="E59" i="17"/>
  <c r="F59" i="17" s="1"/>
  <c r="D43" i="18"/>
  <c r="D259" i="18" s="1"/>
  <c r="E37" i="18"/>
  <c r="D76" i="18"/>
  <c r="D77" i="18" s="1"/>
  <c r="D245" i="18"/>
  <c r="E245" i="18" s="1"/>
  <c r="D17" i="13"/>
  <c r="D28" i="13" s="1"/>
  <c r="D70" i="13" s="1"/>
  <c r="D72" i="13" s="1"/>
  <c r="D69" i="13" s="1"/>
  <c r="E21" i="17"/>
  <c r="F21" i="17" s="1"/>
  <c r="C268" i="17"/>
  <c r="C140" i="17"/>
  <c r="C270" i="17"/>
  <c r="C29" i="22"/>
  <c r="D262" i="17"/>
  <c r="D283" i="17"/>
  <c r="D286" i="17" s="1"/>
  <c r="C255" i="17"/>
  <c r="C214" i="17"/>
  <c r="E214" i="17" s="1"/>
  <c r="F214" i="17" s="1"/>
  <c r="E189" i="17"/>
  <c r="F189" i="17" s="1"/>
  <c r="E223" i="18"/>
  <c r="C43" i="4"/>
  <c r="F48" i="5"/>
  <c r="E44" i="6"/>
  <c r="D109" i="8"/>
  <c r="D106" i="8" s="1"/>
  <c r="E15" i="13"/>
  <c r="E25" i="13"/>
  <c r="E27" i="13" s="1"/>
  <c r="E21" i="13" s="1"/>
  <c r="E42" i="13"/>
  <c r="E284" i="18"/>
  <c r="E33" i="18"/>
  <c r="C295" i="18"/>
  <c r="E174" i="18"/>
  <c r="D41" i="20"/>
  <c r="E39" i="20"/>
  <c r="C25" i="13"/>
  <c r="C15" i="13"/>
  <c r="C77" i="17"/>
  <c r="E77" i="17" s="1"/>
  <c r="E76" i="17"/>
  <c r="F76" i="17" s="1"/>
  <c r="D138" i="17"/>
  <c r="D207" i="17"/>
  <c r="D208" i="17" s="1"/>
  <c r="D289" i="18"/>
  <c r="E289" i="18" s="1"/>
  <c r="D71" i="18"/>
  <c r="E60" i="18"/>
  <c r="E101" i="22"/>
  <c r="E102" i="22"/>
  <c r="C263" i="17"/>
  <c r="E20" i="8"/>
  <c r="D241" i="18"/>
  <c r="E241" i="18" s="1"/>
  <c r="D136" i="8"/>
  <c r="D215" i="17"/>
  <c r="C254" i="17"/>
  <c r="C288" i="17"/>
  <c r="E48" i="5"/>
  <c r="C52" i="6"/>
  <c r="F86" i="6"/>
  <c r="E153" i="6"/>
  <c r="F153" i="6" s="1"/>
  <c r="E18" i="7"/>
  <c r="F18" i="7" s="1"/>
  <c r="E109" i="8"/>
  <c r="E106" i="8" s="1"/>
  <c r="F100" i="17"/>
  <c r="F230" i="17"/>
  <c r="C243" i="18"/>
  <c r="E243" i="18" s="1"/>
  <c r="E219" i="18"/>
  <c r="D303" i="18"/>
  <c r="E324" i="18"/>
  <c r="D326" i="18"/>
  <c r="F20" i="20"/>
  <c r="F44" i="20"/>
  <c r="E269" i="17"/>
  <c r="F269" i="17" s="1"/>
  <c r="D199" i="17"/>
  <c r="E199" i="17" s="1"/>
  <c r="E240" i="18"/>
  <c r="D252" i="18"/>
  <c r="F192" i="9"/>
  <c r="E16" i="15"/>
  <c r="E23" i="15"/>
  <c r="D146" i="17"/>
  <c r="E145" i="17"/>
  <c r="F145" i="17" s="1"/>
  <c r="D175" i="18"/>
  <c r="E175" i="18" s="1"/>
  <c r="D163" i="18"/>
  <c r="E163" i="18" s="1"/>
  <c r="D144" i="18"/>
  <c r="E139" i="18"/>
  <c r="D156" i="18"/>
  <c r="E151" i="18"/>
  <c r="C175" i="18"/>
  <c r="C229" i="18"/>
  <c r="D20" i="20"/>
  <c r="E20" i="20" s="1"/>
  <c r="F21" i="21"/>
  <c r="E47" i="6"/>
  <c r="F47" i="6" s="1"/>
  <c r="E179" i="6"/>
  <c r="F179" i="6" s="1"/>
  <c r="C109" i="8"/>
  <c r="C106" i="8" s="1"/>
  <c r="E76" i="9"/>
  <c r="F76" i="9" s="1"/>
  <c r="E115" i="9"/>
  <c r="F115" i="9" s="1"/>
  <c r="E128" i="9"/>
  <c r="F128" i="9" s="1"/>
  <c r="E71" i="10"/>
  <c r="D121" i="10"/>
  <c r="D27" i="13"/>
  <c r="D68" i="17"/>
  <c r="E68" i="17" s="1"/>
  <c r="C146" i="17"/>
  <c r="E170" i="17"/>
  <c r="F170" i="17" s="1"/>
  <c r="F238" i="17"/>
  <c r="E227" i="18"/>
  <c r="E262" i="18"/>
  <c r="E19" i="21"/>
  <c r="F19" i="21" s="1"/>
  <c r="C101" i="22"/>
  <c r="C103" i="22" s="1"/>
  <c r="E41" i="6"/>
  <c r="E48" i="6"/>
  <c r="F48" i="6" s="1"/>
  <c r="E92" i="6"/>
  <c r="E179" i="9"/>
  <c r="E192" i="9"/>
  <c r="C122" i="10"/>
  <c r="F122" i="10" s="1"/>
  <c r="E100" i="15"/>
  <c r="F100" i="15" s="1"/>
  <c r="E67" i="17"/>
  <c r="F67" i="17" s="1"/>
  <c r="E165" i="17"/>
  <c r="F165" i="17" s="1"/>
  <c r="E180" i="17"/>
  <c r="F180" i="17" s="1"/>
  <c r="F307" i="17"/>
  <c r="E42" i="18"/>
  <c r="E162" i="18"/>
  <c r="E277" i="18"/>
  <c r="E288" i="18"/>
  <c r="F45" i="20"/>
  <c r="E242" i="18"/>
  <c r="E153" i="9"/>
  <c r="E32" i="12"/>
  <c r="D111" i="17"/>
  <c r="E111" i="17" s="1"/>
  <c r="F111" i="17" s="1"/>
  <c r="E25" i="20"/>
  <c r="F25" i="20" s="1"/>
  <c r="E217" i="18"/>
  <c r="E239" i="18"/>
  <c r="E56" i="4"/>
  <c r="F56" i="4" s="1"/>
  <c r="E45" i="6"/>
  <c r="E49" i="6"/>
  <c r="F90" i="6"/>
  <c r="E93" i="6"/>
  <c r="E166" i="6"/>
  <c r="F166" i="6" s="1"/>
  <c r="E30" i="7"/>
  <c r="F30" i="7" s="1"/>
  <c r="E88" i="9"/>
  <c r="E114" i="9"/>
  <c r="F114" i="9" s="1"/>
  <c r="E140" i="9"/>
  <c r="F193" i="9"/>
  <c r="D122" i="10"/>
  <c r="E122" i="10" s="1"/>
  <c r="D50" i="13"/>
  <c r="D80" i="13"/>
  <c r="D77" i="13" s="1"/>
  <c r="E89" i="17"/>
  <c r="F89" i="17" s="1"/>
  <c r="E171" i="17"/>
  <c r="F171" i="17" s="1"/>
  <c r="E198" i="17"/>
  <c r="F198" i="17" s="1"/>
  <c r="F229" i="17"/>
  <c r="E55" i="18"/>
  <c r="C65" i="19"/>
  <c r="C114" i="19" s="1"/>
  <c r="C116" i="19" s="1"/>
  <c r="C119" i="19" s="1"/>
  <c r="C123" i="19" s="1"/>
  <c r="E229" i="18"/>
  <c r="F88" i="6"/>
  <c r="E94" i="6"/>
  <c r="F94" i="6" s="1"/>
  <c r="C149" i="8"/>
  <c r="E23" i="9"/>
  <c r="E75" i="9"/>
  <c r="F75" i="9" s="1"/>
  <c r="E127" i="9"/>
  <c r="F38" i="11"/>
  <c r="C48" i="13"/>
  <c r="C42" i="13" s="1"/>
  <c r="E70" i="15"/>
  <c r="C181" i="17"/>
  <c r="E181" i="17" s="1"/>
  <c r="F181" i="17" s="1"/>
  <c r="C44" i="18"/>
  <c r="E36" i="20"/>
  <c r="D46" i="20"/>
  <c r="C88" i="22"/>
  <c r="E34" i="12"/>
  <c r="F34" i="12" s="1"/>
  <c r="C265" i="17"/>
  <c r="C300" i="17"/>
  <c r="D210" i="17"/>
  <c r="C188" i="7"/>
  <c r="E137" i="8"/>
  <c r="E135" i="8"/>
  <c r="E140" i="8"/>
  <c r="E138" i="8"/>
  <c r="E136" i="8"/>
  <c r="E139" i="8"/>
  <c r="D300" i="17"/>
  <c r="E300" i="17" s="1"/>
  <c r="E264" i="17"/>
  <c r="F264" i="17" s="1"/>
  <c r="D194" i="17"/>
  <c r="D196" i="17" s="1"/>
  <c r="E193" i="17"/>
  <c r="F193" i="17" s="1"/>
  <c r="D266" i="17"/>
  <c r="F199" i="17"/>
  <c r="C273" i="17"/>
  <c r="D160" i="17"/>
  <c r="E66" i="18"/>
  <c r="D295" i="18"/>
  <c r="E295" i="18" s="1"/>
  <c r="C75" i="4"/>
  <c r="E49" i="12"/>
  <c r="F49" i="12" s="1"/>
  <c r="F18" i="5"/>
  <c r="C21" i="5"/>
  <c r="E53" i="8"/>
  <c r="E49" i="8"/>
  <c r="E57" i="8"/>
  <c r="E62" i="8" s="1"/>
  <c r="E43" i="8"/>
  <c r="D112" i="22"/>
  <c r="D55" i="22"/>
  <c r="D47" i="22"/>
  <c r="D37" i="22"/>
  <c r="E42" i="6"/>
  <c r="F42" i="6" s="1"/>
  <c r="D52" i="6"/>
  <c r="E52" i="6" s="1"/>
  <c r="F52" i="6" s="1"/>
  <c r="D281" i="17"/>
  <c r="E281" i="17" s="1"/>
  <c r="F281" i="17" s="1"/>
  <c r="C21" i="8"/>
  <c r="C22" i="8"/>
  <c r="D247" i="18"/>
  <c r="E247" i="18" s="1"/>
  <c r="C208" i="17"/>
  <c r="F65" i="4"/>
  <c r="E21" i="5"/>
  <c r="D50" i="5"/>
  <c r="D95" i="7"/>
  <c r="E95" i="7" s="1"/>
  <c r="F95" i="7" s="1"/>
  <c r="E59" i="7"/>
  <c r="F59" i="7" s="1"/>
  <c r="H33" i="14"/>
  <c r="H36" i="14" s="1"/>
  <c r="H38" i="14" s="1"/>
  <c r="H40" i="14" s="1"/>
  <c r="C36" i="14"/>
  <c r="C38" i="14" s="1"/>
  <c r="C40" i="14" s="1"/>
  <c r="E277" i="17"/>
  <c r="F277" i="17" s="1"/>
  <c r="D279" i="17"/>
  <c r="E279" i="17" s="1"/>
  <c r="F279" i="17" s="1"/>
  <c r="C95" i="6"/>
  <c r="E85" i="6"/>
  <c r="F85" i="6" s="1"/>
  <c r="I33" i="14"/>
  <c r="I36" i="14" s="1"/>
  <c r="I38" i="14" s="1"/>
  <c r="I40" i="14" s="1"/>
  <c r="E130" i="7"/>
  <c r="F130" i="7" s="1"/>
  <c r="E65" i="4"/>
  <c r="D17" i="8"/>
  <c r="E222" i="18"/>
  <c r="D246" i="18"/>
  <c r="E246" i="18" s="1"/>
  <c r="F43" i="20"/>
  <c r="E46" i="20"/>
  <c r="F46" i="20" s="1"/>
  <c r="F43" i="6"/>
  <c r="F51" i="6"/>
  <c r="F92" i="6"/>
  <c r="F137" i="6"/>
  <c r="D37" i="17"/>
  <c r="E37" i="17" s="1"/>
  <c r="F37" i="17" s="1"/>
  <c r="E36" i="17"/>
  <c r="F36" i="17" s="1"/>
  <c r="D91" i="17"/>
  <c r="D75" i="4"/>
  <c r="E75" i="4" s="1"/>
  <c r="F25" i="6"/>
  <c r="F41" i="6"/>
  <c r="F49" i="6"/>
  <c r="D95" i="6"/>
  <c r="E42" i="12"/>
  <c r="F42" i="12" s="1"/>
  <c r="D126" i="17"/>
  <c r="E261" i="17"/>
  <c r="F261" i="17"/>
  <c r="E29" i="4"/>
  <c r="F29" i="4" s="1"/>
  <c r="D43" i="4"/>
  <c r="F60" i="10"/>
  <c r="E60" i="10"/>
  <c r="F17" i="17"/>
  <c r="D161" i="17"/>
  <c r="C136" i="8"/>
  <c r="C139" i="8"/>
  <c r="C137" i="8"/>
  <c r="D139" i="8"/>
  <c r="D137" i="8"/>
  <c r="D135" i="8"/>
  <c r="E201" i="9"/>
  <c r="F201" i="9" s="1"/>
  <c r="D208" i="9"/>
  <c r="E208" i="9" s="1"/>
  <c r="F208" i="9" s="1"/>
  <c r="D263" i="17"/>
  <c r="F38" i="6"/>
  <c r="F45" i="6"/>
  <c r="E91" i="6"/>
  <c r="F91" i="6" s="1"/>
  <c r="F35" i="10"/>
  <c r="E35" i="10"/>
  <c r="C49" i="17"/>
  <c r="F124" i="6"/>
  <c r="E41" i="7"/>
  <c r="F41" i="7" s="1"/>
  <c r="D90" i="8"/>
  <c r="D86" i="8" s="1"/>
  <c r="C79" i="8"/>
  <c r="D166" i="8"/>
  <c r="E166" i="9"/>
  <c r="E116" i="10"/>
  <c r="E22" i="11"/>
  <c r="F22" i="11" s="1"/>
  <c r="F73" i="11"/>
  <c r="D188" i="7"/>
  <c r="E89" i="9"/>
  <c r="E108" i="10"/>
  <c r="E141" i="9"/>
  <c r="E83" i="10"/>
  <c r="E17" i="17"/>
  <c r="E278" i="18"/>
  <c r="C121" i="10"/>
  <c r="F114" i="10"/>
  <c r="E120" i="10"/>
  <c r="E47" i="12"/>
  <c r="F47" i="12" s="1"/>
  <c r="F23" i="15"/>
  <c r="F24" i="20"/>
  <c r="F23" i="9"/>
  <c r="F50" i="9"/>
  <c r="F102" i="9"/>
  <c r="F127" i="9"/>
  <c r="E114" i="10"/>
  <c r="C27" i="13"/>
  <c r="F50" i="15"/>
  <c r="F70" i="15"/>
  <c r="E40" i="12"/>
  <c r="F40" i="12"/>
  <c r="F92" i="15"/>
  <c r="E22" i="16"/>
  <c r="F22" i="16" s="1"/>
  <c r="E203" i="17"/>
  <c r="F203" i="17" s="1"/>
  <c r="C283" i="17"/>
  <c r="E306" i="17"/>
  <c r="D88" i="22"/>
  <c r="E118" i="10"/>
  <c r="C75" i="11"/>
  <c r="E75" i="11" s="1"/>
  <c r="F32" i="12"/>
  <c r="F45" i="15"/>
  <c r="E60" i="15"/>
  <c r="F60" i="15" s="1"/>
  <c r="F65" i="15"/>
  <c r="E17" i="16"/>
  <c r="F17" i="16" s="1"/>
  <c r="E311" i="17"/>
  <c r="E61" i="11"/>
  <c r="F61" i="11" s="1"/>
  <c r="E75" i="15"/>
  <c r="F75" i="15" s="1"/>
  <c r="E20" i="17"/>
  <c r="F20" i="17" s="1"/>
  <c r="F58" i="15"/>
  <c r="F73" i="15"/>
  <c r="F36" i="20"/>
  <c r="D101" i="22"/>
  <c r="D103" i="22" s="1"/>
  <c r="C41" i="11"/>
  <c r="C71" i="18"/>
  <c r="E71" i="18" s="1"/>
  <c r="F16" i="15"/>
  <c r="D34" i="22"/>
  <c r="E266" i="17" l="1"/>
  <c r="F266" i="17" s="1"/>
  <c r="E282" i="17"/>
  <c r="F282" i="17" s="1"/>
  <c r="E125" i="17"/>
  <c r="F125" i="17" s="1"/>
  <c r="E263" i="17"/>
  <c r="F263" i="17" s="1"/>
  <c r="E160" i="17"/>
  <c r="F160" i="17" s="1"/>
  <c r="E175" i="17"/>
  <c r="F175" i="17" s="1"/>
  <c r="D287" i="17"/>
  <c r="E208" i="17"/>
  <c r="D284" i="17"/>
  <c r="E207" i="17"/>
  <c r="F207" i="17" s="1"/>
  <c r="E190" i="17"/>
  <c r="F190" i="17" s="1"/>
  <c r="D176" i="17"/>
  <c r="E176" i="17" s="1"/>
  <c r="F176" i="17" s="1"/>
  <c r="E326" i="18"/>
  <c r="D330" i="18"/>
  <c r="E330" i="18" s="1"/>
  <c r="F41" i="20"/>
  <c r="E43" i="4"/>
  <c r="F43" i="4" s="1"/>
  <c r="D145" i="18"/>
  <c r="D180" i="18"/>
  <c r="E180" i="18" s="1"/>
  <c r="E144" i="18"/>
  <c r="E90" i="17"/>
  <c r="F90" i="17"/>
  <c r="D306" i="18"/>
  <c r="E303" i="18"/>
  <c r="C216" i="17"/>
  <c r="C304" i="17"/>
  <c r="D141" i="8"/>
  <c r="C141" i="17"/>
  <c r="C211" i="17" s="1"/>
  <c r="E41" i="20"/>
  <c r="F39" i="20"/>
  <c r="E24" i="13"/>
  <c r="E20" i="13" s="1"/>
  <c r="E17" i="13"/>
  <c r="E28" i="13" s="1"/>
  <c r="E70" i="13" s="1"/>
  <c r="E72" i="13" s="1"/>
  <c r="E69" i="13" s="1"/>
  <c r="D61" i="17"/>
  <c r="E60" i="17"/>
  <c r="F60" i="17" s="1"/>
  <c r="D168" i="18"/>
  <c r="E168" i="18" s="1"/>
  <c r="E156" i="18"/>
  <c r="D157" i="18"/>
  <c r="E157" i="18" s="1"/>
  <c r="D270" i="17"/>
  <c r="E270" i="17" s="1"/>
  <c r="F270" i="17" s="1"/>
  <c r="E267" i="17"/>
  <c r="F267" i="17" s="1"/>
  <c r="D255" i="17"/>
  <c r="E255" i="17" s="1"/>
  <c r="F255" i="17" s="1"/>
  <c r="E215" i="17"/>
  <c r="D216" i="17"/>
  <c r="E39" i="22"/>
  <c r="E35" i="22"/>
  <c r="E29" i="22"/>
  <c r="E110" i="22"/>
  <c r="E53" i="22"/>
  <c r="E45" i="22"/>
  <c r="D21" i="13"/>
  <c r="D22" i="13"/>
  <c r="E278" i="17"/>
  <c r="F278" i="17" s="1"/>
  <c r="D288" i="17"/>
  <c r="E288" i="17" s="1"/>
  <c r="F288" i="17" s="1"/>
  <c r="E188" i="7"/>
  <c r="F188" i="7" s="1"/>
  <c r="C141" i="8"/>
  <c r="C235" i="18"/>
  <c r="E235" i="18" s="1"/>
  <c r="E211" i="18"/>
  <c r="C181" i="18"/>
  <c r="C89" i="18"/>
  <c r="C258" i="18"/>
  <c r="C88" i="18"/>
  <c r="C101" i="18"/>
  <c r="C86" i="18"/>
  <c r="C99" i="18"/>
  <c r="C84" i="18"/>
  <c r="C95" i="18"/>
  <c r="C87" i="18"/>
  <c r="C98" i="18"/>
  <c r="C85" i="18"/>
  <c r="C83" i="18"/>
  <c r="C96" i="18"/>
  <c r="C97" i="18"/>
  <c r="C100" i="18"/>
  <c r="C138" i="8"/>
  <c r="C140" i="8"/>
  <c r="C135" i="8"/>
  <c r="D271" i="17"/>
  <c r="C252" i="18"/>
  <c r="E254" i="17"/>
  <c r="F254" i="17" s="1"/>
  <c r="C55" i="22"/>
  <c r="C47" i="22"/>
  <c r="C112" i="22"/>
  <c r="C37" i="22"/>
  <c r="E36" i="22"/>
  <c r="E30" i="22"/>
  <c r="E111" i="22"/>
  <c r="E54" i="22"/>
  <c r="E46" i="22"/>
  <c r="E40" i="22"/>
  <c r="C24" i="13"/>
  <c r="C20" i="13" s="1"/>
  <c r="C17" i="13"/>
  <c r="C28" i="13" s="1"/>
  <c r="C70" i="13" s="1"/>
  <c r="C72" i="13" s="1"/>
  <c r="C69" i="13" s="1"/>
  <c r="D103" i="17"/>
  <c r="E102" i="17"/>
  <c r="F102" i="17" s="1"/>
  <c r="D44" i="18"/>
  <c r="E43" i="18"/>
  <c r="D20" i="13"/>
  <c r="E146" i="17"/>
  <c r="F146" i="17" s="1"/>
  <c r="E138" i="17"/>
  <c r="F138" i="17" s="1"/>
  <c r="D140" i="17"/>
  <c r="D253" i="18"/>
  <c r="C91" i="17"/>
  <c r="C92" i="17" s="1"/>
  <c r="C126" i="17"/>
  <c r="C127" i="17" s="1"/>
  <c r="C197" i="17" s="1"/>
  <c r="C196" i="17"/>
  <c r="E196" i="17" s="1"/>
  <c r="F196" i="17" s="1"/>
  <c r="C161" i="17"/>
  <c r="C162" i="17" s="1"/>
  <c r="D114" i="18"/>
  <c r="D115" i="18"/>
  <c r="D127" i="18"/>
  <c r="D112" i="18"/>
  <c r="D111" i="18"/>
  <c r="D124" i="18"/>
  <c r="D113" i="18"/>
  <c r="D110" i="18"/>
  <c r="D125" i="18"/>
  <c r="D109" i="18"/>
  <c r="D123" i="18"/>
  <c r="D126" i="18"/>
  <c r="D122" i="18"/>
  <c r="D121" i="18"/>
  <c r="F68" i="17"/>
  <c r="D268" i="17"/>
  <c r="E268" i="17" s="1"/>
  <c r="F268" i="17" s="1"/>
  <c r="E103" i="22"/>
  <c r="E262" i="17"/>
  <c r="F262" i="17" s="1"/>
  <c r="D272" i="17"/>
  <c r="E272" i="17" s="1"/>
  <c r="F272" i="17" s="1"/>
  <c r="F215" i="17"/>
  <c r="E157" i="8"/>
  <c r="E155" i="8"/>
  <c r="E153" i="8"/>
  <c r="E154" i="8"/>
  <c r="E156" i="8"/>
  <c r="E152" i="8"/>
  <c r="E158" i="8" s="1"/>
  <c r="C36" i="22"/>
  <c r="C30" i="22"/>
  <c r="C111" i="22"/>
  <c r="C40" i="22"/>
  <c r="C54" i="22"/>
  <c r="C46" i="22"/>
  <c r="D197" i="17"/>
  <c r="F75" i="4"/>
  <c r="C22" i="13"/>
  <c r="C21" i="13"/>
  <c r="E194" i="17"/>
  <c r="F194" i="17" s="1"/>
  <c r="D195" i="17"/>
  <c r="E195" i="17" s="1"/>
  <c r="F195" i="17" s="1"/>
  <c r="C284" i="17"/>
  <c r="E283" i="17"/>
  <c r="F283" i="17" s="1"/>
  <c r="C287" i="17"/>
  <c r="E287" i="17" s="1"/>
  <c r="C286" i="17"/>
  <c r="C323" i="17"/>
  <c r="C183" i="17"/>
  <c r="D92" i="17"/>
  <c r="D265" i="17"/>
  <c r="E265" i="17" s="1"/>
  <c r="F265" i="17" s="1"/>
  <c r="E141" i="8"/>
  <c r="D211" i="17"/>
  <c r="D127" i="17"/>
  <c r="E126" i="17"/>
  <c r="F126" i="17" s="1"/>
  <c r="D28" i="8"/>
  <c r="D112" i="8"/>
  <c r="D111" i="8" s="1"/>
  <c r="F75" i="11"/>
  <c r="C50" i="17"/>
  <c r="E49" i="17"/>
  <c r="F49" i="17" s="1"/>
  <c r="F300" i="17"/>
  <c r="E95" i="6"/>
  <c r="F95" i="6" s="1"/>
  <c r="F121" i="10"/>
  <c r="E121" i="10"/>
  <c r="D289" i="17"/>
  <c r="F208" i="17"/>
  <c r="C209" i="17"/>
  <c r="C210" i="17"/>
  <c r="D162" i="17"/>
  <c r="E161" i="17"/>
  <c r="F161" i="17" s="1"/>
  <c r="C148" i="17"/>
  <c r="D263" i="18"/>
  <c r="C76" i="18"/>
  <c r="D152" i="8"/>
  <c r="D157" i="8"/>
  <c r="D155" i="8"/>
  <c r="D154" i="8"/>
  <c r="D153" i="8"/>
  <c r="D156" i="8"/>
  <c r="C43" i="11"/>
  <c r="E41" i="11"/>
  <c r="F41" i="11" s="1"/>
  <c r="C35" i="5"/>
  <c r="F21" i="5"/>
  <c r="E284" i="17" l="1"/>
  <c r="C322" i="17"/>
  <c r="D291" i="17"/>
  <c r="D305" i="17" s="1"/>
  <c r="E211" i="17"/>
  <c r="F211" i="17" s="1"/>
  <c r="E91" i="17"/>
  <c r="F91" i="17" s="1"/>
  <c r="E271" i="17"/>
  <c r="F271" i="17" s="1"/>
  <c r="D304" i="17"/>
  <c r="E304" i="17" s="1"/>
  <c r="F304" i="17" s="1"/>
  <c r="D273" i="17"/>
  <c r="E273" i="17" s="1"/>
  <c r="F273" i="17" s="1"/>
  <c r="E55" i="22"/>
  <c r="E47" i="22"/>
  <c r="E37" i="22"/>
  <c r="E112" i="22"/>
  <c r="C113" i="22"/>
  <c r="C56" i="22"/>
  <c r="C48" i="22"/>
  <c r="C38" i="22"/>
  <c r="E113" i="22"/>
  <c r="E56" i="22"/>
  <c r="E38" i="22"/>
  <c r="E48" i="22"/>
  <c r="D116" i="18"/>
  <c r="E22" i="13"/>
  <c r="E216" i="17"/>
  <c r="F216" i="17" s="1"/>
  <c r="C254" i="18"/>
  <c r="E252" i="18"/>
  <c r="C90" i="18"/>
  <c r="D139" i="17"/>
  <c r="E139" i="17" s="1"/>
  <c r="F139" i="17" s="1"/>
  <c r="D62" i="17"/>
  <c r="D104" i="17"/>
  <c r="E104" i="17" s="1"/>
  <c r="F104" i="17" s="1"/>
  <c r="E61" i="17"/>
  <c r="F61" i="17" s="1"/>
  <c r="D174" i="17"/>
  <c r="E174" i="17" s="1"/>
  <c r="F174" i="17" s="1"/>
  <c r="D209" i="17"/>
  <c r="E209" i="17" s="1"/>
  <c r="F209" i="17" s="1"/>
  <c r="E253" i="18"/>
  <c r="D254" i="18"/>
  <c r="E254" i="18" s="1"/>
  <c r="C91" i="18"/>
  <c r="C105" i="18" s="1"/>
  <c r="E140" i="17"/>
  <c r="F140" i="17" s="1"/>
  <c r="D141" i="17"/>
  <c r="D322" i="17" s="1"/>
  <c r="E322" i="17" s="1"/>
  <c r="F322" i="17" s="1"/>
  <c r="D117" i="18"/>
  <c r="D310" i="18"/>
  <c r="E310" i="18" s="1"/>
  <c r="E306" i="18"/>
  <c r="E197" i="17"/>
  <c r="F197" i="17" s="1"/>
  <c r="D129" i="18"/>
  <c r="E103" i="17"/>
  <c r="F103" i="17" s="1"/>
  <c r="D105" i="17"/>
  <c r="D128" i="18"/>
  <c r="C113" i="17"/>
  <c r="C324" i="17"/>
  <c r="D100" i="18"/>
  <c r="E100" i="18" s="1"/>
  <c r="D83" i="18"/>
  <c r="D98" i="18"/>
  <c r="E98" i="18" s="1"/>
  <c r="D99" i="18"/>
  <c r="E99" i="18" s="1"/>
  <c r="D96" i="18"/>
  <c r="D95" i="18"/>
  <c r="D89" i="18"/>
  <c r="E89" i="18" s="1"/>
  <c r="D88" i="18"/>
  <c r="E88" i="18" s="1"/>
  <c r="D97" i="18"/>
  <c r="E97" i="18" s="1"/>
  <c r="D84" i="18"/>
  <c r="E84" i="18" s="1"/>
  <c r="D87" i="18"/>
  <c r="E87" i="18" s="1"/>
  <c r="D101" i="18"/>
  <c r="E101" i="18" s="1"/>
  <c r="D85" i="18"/>
  <c r="D86" i="18"/>
  <c r="E86" i="18" s="1"/>
  <c r="E44" i="18"/>
  <c r="D258" i="18"/>
  <c r="E258" i="18" s="1"/>
  <c r="C102" i="18"/>
  <c r="C103" i="18" s="1"/>
  <c r="D181" i="18"/>
  <c r="E181" i="18" s="1"/>
  <c r="E145" i="18"/>
  <c r="D169" i="18"/>
  <c r="E169" i="18" s="1"/>
  <c r="E286" i="17"/>
  <c r="F286" i="17" s="1"/>
  <c r="D22" i="8"/>
  <c r="D99" i="8"/>
  <c r="D101" i="8" s="1"/>
  <c r="D98" i="8" s="1"/>
  <c r="C291" i="17"/>
  <c r="C289" i="17"/>
  <c r="E289" i="17" s="1"/>
  <c r="F287" i="17"/>
  <c r="E92" i="17"/>
  <c r="F92" i="17" s="1"/>
  <c r="C43" i="5"/>
  <c r="E35" i="5"/>
  <c r="F35" i="5" s="1"/>
  <c r="D148" i="17"/>
  <c r="E148" i="17" s="1"/>
  <c r="F148" i="17" s="1"/>
  <c r="E127" i="17"/>
  <c r="F127" i="17" s="1"/>
  <c r="D158" i="8"/>
  <c r="C259" i="18"/>
  <c r="C77" i="18"/>
  <c r="E76" i="18"/>
  <c r="E210" i="17"/>
  <c r="F210" i="17" s="1"/>
  <c r="F284" i="17"/>
  <c r="E43" i="11"/>
  <c r="F43" i="11"/>
  <c r="C70" i="17"/>
  <c r="E50" i="17"/>
  <c r="F50" i="17" s="1"/>
  <c r="D323" i="17"/>
  <c r="E323" i="17" s="1"/>
  <c r="F323" i="17" s="1"/>
  <c r="E162" i="17"/>
  <c r="F162" i="17" s="1"/>
  <c r="D183" i="17"/>
  <c r="E183" i="17" s="1"/>
  <c r="F183" i="17" s="1"/>
  <c r="E291" i="17" l="1"/>
  <c r="F291" i="17" s="1"/>
  <c r="C325" i="17"/>
  <c r="E95" i="18"/>
  <c r="E141" i="17"/>
  <c r="F141" i="17" s="1"/>
  <c r="D264" i="18"/>
  <c r="D90" i="18"/>
  <c r="E90" i="18" s="1"/>
  <c r="E85" i="18"/>
  <c r="D102" i="18"/>
  <c r="E102" i="18" s="1"/>
  <c r="E96" i="18"/>
  <c r="D131" i="18"/>
  <c r="E83" i="18"/>
  <c r="D106" i="17"/>
  <c r="E105" i="17"/>
  <c r="F105" i="17" s="1"/>
  <c r="D63" i="17"/>
  <c r="E62" i="17"/>
  <c r="F62" i="17" s="1"/>
  <c r="C305" i="17"/>
  <c r="E305" i="17" s="1"/>
  <c r="D309" i="17"/>
  <c r="C124" i="18"/>
  <c r="E124" i="18" s="1"/>
  <c r="C112" i="18"/>
  <c r="E112" i="18" s="1"/>
  <c r="C122" i="18"/>
  <c r="C125" i="18"/>
  <c r="E125" i="18" s="1"/>
  <c r="C115" i="18"/>
  <c r="E115" i="18" s="1"/>
  <c r="C121" i="18"/>
  <c r="C113" i="18"/>
  <c r="E113" i="18" s="1"/>
  <c r="C114" i="18"/>
  <c r="E114" i="18" s="1"/>
  <c r="C111" i="18"/>
  <c r="E111" i="18" s="1"/>
  <c r="C110" i="18"/>
  <c r="C126" i="18"/>
  <c r="E126" i="18" s="1"/>
  <c r="C109" i="18"/>
  <c r="E77" i="18"/>
  <c r="C127" i="18"/>
  <c r="E127" i="18" s="1"/>
  <c r="C123" i="18"/>
  <c r="E123" i="18" s="1"/>
  <c r="C50" i="5"/>
  <c r="F43" i="5"/>
  <c r="E43" i="5"/>
  <c r="C263" i="18"/>
  <c r="E259" i="18"/>
  <c r="D266" i="18"/>
  <c r="F289" i="17"/>
  <c r="D91" i="18" l="1"/>
  <c r="E63" i="17"/>
  <c r="F63" i="17" s="1"/>
  <c r="D70" i="17"/>
  <c r="E70" i="17" s="1"/>
  <c r="F70" i="17" s="1"/>
  <c r="E106" i="17"/>
  <c r="F106" i="17" s="1"/>
  <c r="D324" i="17"/>
  <c r="D113" i="17"/>
  <c r="E113" i="17" s="1"/>
  <c r="F113" i="17" s="1"/>
  <c r="D103" i="18"/>
  <c r="E103" i="18" s="1"/>
  <c r="E110" i="18"/>
  <c r="C116" i="18"/>
  <c r="E116" i="18" s="1"/>
  <c r="D267" i="18"/>
  <c r="D310" i="17"/>
  <c r="E121" i="18"/>
  <c r="F305" i="17"/>
  <c r="C309" i="17"/>
  <c r="E309" i="17" s="1"/>
  <c r="E50" i="5"/>
  <c r="F50" i="5" s="1"/>
  <c r="C264" i="18"/>
  <c r="E263" i="18"/>
  <c r="C117" i="18"/>
  <c r="E109" i="18"/>
  <c r="C128" i="18"/>
  <c r="E128" i="18" s="1"/>
  <c r="E122" i="18"/>
  <c r="E324" i="17" l="1"/>
  <c r="F324" i="17" s="1"/>
  <c r="D325" i="17"/>
  <c r="E325" i="17" s="1"/>
  <c r="F325" i="17" s="1"/>
  <c r="E91" i="18"/>
  <c r="D105" i="18"/>
  <c r="E105" i="18" s="1"/>
  <c r="C129" i="18"/>
  <c r="E129" i="18" s="1"/>
  <c r="E117" i="18"/>
  <c r="E310" i="17"/>
  <c r="D312" i="17"/>
  <c r="D269" i="18"/>
  <c r="D268" i="18"/>
  <c r="C266" i="18"/>
  <c r="E264" i="18"/>
  <c r="C310" i="17"/>
  <c r="F309" i="17"/>
  <c r="C267" i="18" l="1"/>
  <c r="E266" i="18"/>
  <c r="D271" i="18"/>
  <c r="D313" i="17"/>
  <c r="F310" i="17"/>
  <c r="C312" i="17"/>
  <c r="C131" i="18"/>
  <c r="E131" i="18" s="1"/>
  <c r="C313" i="17" l="1"/>
  <c r="E313" i="17" s="1"/>
  <c r="C268" i="18"/>
  <c r="C269" i="18"/>
  <c r="E269" i="18" s="1"/>
  <c r="E267" i="18"/>
  <c r="E312" i="17"/>
  <c r="F312" i="17" s="1"/>
  <c r="D256" i="17"/>
  <c r="D314" i="17"/>
  <c r="D251" i="17"/>
  <c r="D315" i="17"/>
  <c r="D318" i="17" l="1"/>
  <c r="D257" i="17"/>
  <c r="C314" i="17"/>
  <c r="C251" i="17"/>
  <c r="C256" i="17"/>
  <c r="C315" i="17"/>
  <c r="F313" i="17"/>
  <c r="C271" i="18"/>
  <c r="E271" i="18" s="1"/>
  <c r="E268" i="18"/>
  <c r="C318" i="17" l="1"/>
  <c r="C257" i="17"/>
  <c r="E251" i="17"/>
  <c r="F251" i="17" s="1"/>
  <c r="E256" i="17"/>
  <c r="F256" i="17" s="1"/>
  <c r="E315" i="17"/>
  <c r="F315" i="17" s="1"/>
  <c r="E318" i="17"/>
  <c r="E314" i="17"/>
  <c r="F314" i="17" s="1"/>
  <c r="E257" i="17" l="1"/>
  <c r="F257" i="17" s="1"/>
  <c r="F318" i="17"/>
</calcChain>
</file>

<file path=xl/sharedStrings.xml><?xml version="1.0" encoding="utf-8"?>
<sst xmlns="http://schemas.openxmlformats.org/spreadsheetml/2006/main" count="2334" uniqueCount="1009">
  <si>
    <t>WILLIAM W. BACKUS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</si>
  <si>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</si>
  <si>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</si>
  <si>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</si>
  <si>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</si>
  <si>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</si>
  <si>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</si>
  <si>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</si>
  <si>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</si>
  <si>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</si>
  <si>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</si>
  <si>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</si>
  <si>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</si>
  <si>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</si>
  <si>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</si>
  <si>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</si>
  <si>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</si>
  <si>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</si>
  <si>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</si>
  <si>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</si>
  <si>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</si>
  <si>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</si>
  <si>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</si>
  <si>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</si>
  <si>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</si>
  <si>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</si>
  <si>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</si>
  <si>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</si>
  <si>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</si>
  <si>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</si>
  <si>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</si>
  <si>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</si>
  <si>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</si>
  <si>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</si>
  <si>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</si>
  <si>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</si>
  <si>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</si>
  <si>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</si>
  <si>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</si>
  <si>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</si>
  <si>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</si>
  <si>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</si>
  <si>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</si>
  <si>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</si>
  <si>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</si>
  <si>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</si>
  <si>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</si>
  <si>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</si>
  <si>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</si>
  <si>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</si>
  <si>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</si>
  <si>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</si>
  <si>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</si>
  <si>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</si>
  <si>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</si>
  <si>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</si>
  <si>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</si>
  <si>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</si>
  <si>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</si>
  <si>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</si>
  <si>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</si>
  <si>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</si>
  <si>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</si>
  <si>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</si>
  <si>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</si>
  <si>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</si>
  <si>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</si>
  <si>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</si>
  <si>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</si>
  <si>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</si>
  <si>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</si>
  <si>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</si>
  <si>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</si>
  <si>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</si>
  <si>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</si>
  <si>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</si>
  <si>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</si>
  <si>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</si>
  <si>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</si>
  <si>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</si>
  <si>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</si>
  <si>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</si>
  <si>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</si>
  <si>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</si>
  <si>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</si>
  <si>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</si>
  <si>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</si>
  <si>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</si>
  <si>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</si>
  <si>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</si>
  <si>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</si>
  <si>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</si>
  <si>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</si>
  <si>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</si>
  <si>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</si>
  <si>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</si>
  <si>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</si>
  <si>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</si>
  <si>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</si>
  <si>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</si>
  <si>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</si>
  <si>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</si>
  <si>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</si>
  <si>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</si>
  <si>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</si>
  <si>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</si>
  <si>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</si>
  <si>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</si>
  <si>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</si>
  <si>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</si>
  <si>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</si>
  <si>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</si>
  <si>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</si>
  <si>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</si>
  <si>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</si>
  <si>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</si>
  <si>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</si>
  <si>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</si>
  <si>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</si>
  <si>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</si>
  <si>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</si>
  <si>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</si>
  <si>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</si>
  <si>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</si>
  <si>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</si>
  <si>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</si>
  <si>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</si>
  <si>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</si>
  <si>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</si>
  <si>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</si>
  <si>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</si>
  <si>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</si>
  <si>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</si>
  <si>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</si>
  <si>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</si>
  <si>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</si>
  <si>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</si>
  <si>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</si>
  <si>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</si>
  <si>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</si>
  <si>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</si>
  <si>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</si>
  <si>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</si>
  <si>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</si>
  <si>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</si>
  <si>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</si>
  <si>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</si>
  <si>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</si>
  <si>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</si>
  <si>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</si>
  <si>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</si>
  <si>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</si>
  <si>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</si>
  <si>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</si>
  <si>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</si>
  <si>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</si>
  <si>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</si>
  <si>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</si>
  <si>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</si>
  <si>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</si>
  <si>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</si>
  <si>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</si>
  <si>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</si>
  <si>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</si>
  <si>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</si>
  <si>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</si>
  <si>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</si>
  <si>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</si>
  <si>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</si>
  <si>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</si>
  <si>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</si>
  <si>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</si>
  <si>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</si>
  <si>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</si>
  <si>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</si>
  <si>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</si>
  <si>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</si>
  <si>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</si>
  <si>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</si>
  <si>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</si>
  <si>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</si>
  <si>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</si>
  <si>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</si>
  <si>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</si>
  <si>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</si>
  <si>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</si>
  <si>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</si>
  <si>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</si>
  <si>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</si>
  <si>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</si>
  <si>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</si>
  <si>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</si>
  <si>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</si>
  <si>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</si>
  <si>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</si>
  <si>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</si>
  <si>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</si>
  <si>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</si>
  <si>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</si>
  <si>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</si>
  <si>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</si>
  <si>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</si>
  <si>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</si>
  <si>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</si>
  <si>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</si>
  <si>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</si>
  <si>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</si>
  <si>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</si>
  <si>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</si>
  <si>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</si>
  <si>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</si>
  <si>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</si>
  <si>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</si>
  <si>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</si>
  <si>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</si>
  <si>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</si>
  <si>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</si>
  <si>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</si>
  <si>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</si>
  <si>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</si>
  <si>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</si>
  <si>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</si>
  <si>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</si>
  <si>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</si>
  <si>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</si>
  <si>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</si>
  <si>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</si>
  <si>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</si>
  <si>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</si>
  <si>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</si>
  <si>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</si>
  <si>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</si>
  <si>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</si>
  <si>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</si>
  <si>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</si>
  <si>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</si>
  <si>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</si>
  <si>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</si>
  <si>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</si>
  <si>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</si>
  <si>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</si>
  <si>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</si>
  <si>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</si>
  <si>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</si>
  <si>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</si>
  <si>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</si>
  <si>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</si>
  <si>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</si>
  <si>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</si>
  <si>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</si>
  <si>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</si>
  <si>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</si>
  <si>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</si>
  <si>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</si>
  <si>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</si>
  <si>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</si>
  <si>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</si>
  <si>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</si>
  <si>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</si>
  <si>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</si>
  <si>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</si>
  <si>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</si>
  <si>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</si>
  <si>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</si>
  <si>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</si>
  <si>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</si>
  <si>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</si>
  <si>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</si>
  <si>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</si>
  <si>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</si>
  <si>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</si>
  <si>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</si>
  <si>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</si>
  <si>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</si>
  <si>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</si>
  <si>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</si>
  <si>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</si>
  <si>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</si>
  <si>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</si>
  <si>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</si>
  <si>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</si>
  <si>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</si>
  <si>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</si>
  <si>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</si>
  <si>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</si>
  <si>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</si>
  <si>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</si>
  <si>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</si>
  <si>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</si>
  <si>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</si>
  <si>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</si>
  <si>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</si>
  <si>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</si>
  <si>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</si>
  <si>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</si>
  <si>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</si>
  <si>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</si>
  <si>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</si>
  <si>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</si>
  <si>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</si>
  <si>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</si>
  <si>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</si>
  <si>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</si>
  <si>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</si>
  <si>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</si>
  <si>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</si>
  <si>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</si>
  <si>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</si>
  <si>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</si>
  <si>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</si>
  <si>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</si>
  <si>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</si>
  <si>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</si>
  <si>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</si>
  <si>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</si>
  <si>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</si>
  <si>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</si>
  <si>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</si>
  <si>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</si>
  <si>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</si>
  <si>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</si>
  <si>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</si>
  <si>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</si>
  <si>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</si>
  <si>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</si>
  <si>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</si>
  <si>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</si>
  <si>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</si>
  <si>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</si>
  <si>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</si>
  <si>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</si>
  <si>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</si>
  <si>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</si>
  <si>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</si>
  <si>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</si>
  <si>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</si>
  <si>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</si>
  <si>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</si>
  <si>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</si>
  <si>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</si>
  <si>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</si>
  <si>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</si>
  <si>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</si>
  <si>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</si>
  <si>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</si>
  <si>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</si>
  <si>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</si>
  <si>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</si>
  <si>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</si>
  <si>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</si>
  <si>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</si>
  <si>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</si>
  <si>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</si>
  <si>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</si>
  <si>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</si>
  <si>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</si>
  <si>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</si>
  <si>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</si>
  <si>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</si>
  <si>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</si>
  <si>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</si>
  <si>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</si>
  <si>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</si>
  <si>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</si>
  <si>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</si>
  <si>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</si>
  <si>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</si>
  <si>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</si>
  <si>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</si>
  <si>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</si>
  <si>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</si>
  <si>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</si>
  <si>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</si>
  <si>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</si>
  <si>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</si>
  <si>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</si>
  <si>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</si>
  <si>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</si>
  <si>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</si>
  <si>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</si>
  <si>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</si>
  <si>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</si>
  <si>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</si>
  <si>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</si>
  <si>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</si>
  <si>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</si>
  <si>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</si>
  <si>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</si>
  <si>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</si>
  <si>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</si>
  <si>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</si>
  <si>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</si>
  <si>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</si>
  <si>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</si>
  <si>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</si>
  <si>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</si>
  <si>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</si>
  <si>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</si>
  <si>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</si>
  <si>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</si>
  <si>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</si>
  <si>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</si>
  <si>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</si>
  <si>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</si>
  <si>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</si>
  <si>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</si>
  <si>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</si>
  <si>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</si>
  <si>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</si>
  <si>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</si>
  <si>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</si>
  <si>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</si>
  <si>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</si>
  <si>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</si>
  <si>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</si>
  <si>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</si>
  <si>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</si>
  <si>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</si>
  <si>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</si>
  <si>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</si>
  <si>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</si>
  <si>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</si>
  <si>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</si>
  <si>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</si>
  <si>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</si>
  <si>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</si>
  <si>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</si>
  <si>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</si>
  <si>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</si>
  <si>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</si>
  <si>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</si>
  <si>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</si>
  <si>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</si>
  <si>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</si>
  <si>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</si>
  <si>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</si>
  <si>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</si>
  <si>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</si>
  <si>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</si>
  <si>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</si>
  <si>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</si>
  <si>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</si>
  <si>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</si>
  <si>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</si>
  <si>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</si>
  <si>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</si>
  <si>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</si>
  <si>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</si>
  <si>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</si>
  <si>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</si>
  <si>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</si>
  <si>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</si>
  <si>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</si>
  <si>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</si>
  <si>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</si>
  <si>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</si>
  <si>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</si>
  <si>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</si>
  <si>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</si>
  <si>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</si>
  <si>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</si>
  <si>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</si>
  <si>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</si>
  <si>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</si>
  <si>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</si>
  <si>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</si>
  <si>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</si>
  <si>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</si>
  <si>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</si>
  <si>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</si>
  <si>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</si>
  <si>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</si>
  <si>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</si>
  <si>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</si>
  <si>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</si>
  <si>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</si>
  <si>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</si>
  <si>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</si>
  <si>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</si>
  <si>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</si>
  <si>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</si>
  <si>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</si>
  <si>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</si>
  <si>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</si>
  <si>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</si>
  <si>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</si>
  <si>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</si>
  <si>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</si>
  <si>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</si>
  <si>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</si>
  <si>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</si>
  <si>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</si>
  <si>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</si>
  <si>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</si>
  <si>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</si>
  <si>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</si>
  <si>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</si>
  <si>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</si>
  <si>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</si>
  <si>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</si>
  <si>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BACKUS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</si>
  <si>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</si>
  <si>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</si>
  <si>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</si>
  <si>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</si>
  <si>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</si>
  <si>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</si>
  <si>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</si>
  <si>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</si>
  <si>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</si>
  <si>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</si>
  <si>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</si>
  <si>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</si>
  <si>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</si>
  <si>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</si>
  <si>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</si>
  <si>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</si>
  <si>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</si>
  <si>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</si>
  <si>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</si>
  <si>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</si>
  <si>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</si>
  <si>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</si>
  <si>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</si>
  <si>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</si>
  <si>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</si>
  <si>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</si>
  <si>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</si>
  <si>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</si>
  <si>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</si>
  <si>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</si>
  <si>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</si>
  <si>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</si>
  <si>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</si>
  <si>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</si>
  <si>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</si>
  <si>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</si>
  <si>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</si>
  <si>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</si>
  <si>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</si>
  <si>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</si>
  <si>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</si>
  <si>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</si>
  <si>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</si>
  <si>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</si>
  <si>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</si>
  <si>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</si>
  <si>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</si>
  <si>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</si>
  <si>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</si>
  <si>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</si>
  <si>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</si>
  <si>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</si>
  <si>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</si>
  <si>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</si>
  <si>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</si>
  <si>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</si>
  <si>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</si>
  <si>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</si>
  <si>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</si>
  <si>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</si>
  <si>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</si>
  <si>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</si>
  <si>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</si>
  <si>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</si>
  <si>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</si>
  <si>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</si>
  <si>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</si>
  <si>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</si>
  <si>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</si>
  <si>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</si>
  <si>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</si>
  <si>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</si>
  <si>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</si>
  <si>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</si>
  <si>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</si>
  <si>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</si>
  <si>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</si>
  <si>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</si>
  <si>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</si>
  <si>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</si>
  <si>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</si>
  <si>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</si>
  <si>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</si>
  <si>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</si>
  <si>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</si>
  <si>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</si>
  <si>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</si>
  <si>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</si>
  <si>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</si>
  <si>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</si>
  <si>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</si>
  <si>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</si>
  <si>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</si>
  <si>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</si>
  <si>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</si>
  <si>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</si>
  <si>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</si>
  <si>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</si>
  <si>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</si>
  <si>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</si>
  <si>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</si>
  <si>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</si>
  <si>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</si>
  <si>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</si>
  <si>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</si>
  <si>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</si>
  <si>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</si>
  <si>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</si>
  <si>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</si>
  <si>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</si>
  <si>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</si>
  <si>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</si>
  <si>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</si>
  <si>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</si>
  <si>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</si>
  <si>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</si>
  <si>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</si>
  <si>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</si>
  <si>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</si>
  <si>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</si>
  <si>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BACKUS HOSPITAL</t>
  </si>
  <si>
    <t>Total Outpatient Surgical Procedures(A)</t>
  </si>
  <si>
    <t>Total Outpatient Endoscopy Procedures(B)</t>
  </si>
  <si>
    <t>Outpatient Hospital Emergency Room Visits</t>
  </si>
  <si>
    <t>BACKUS PLAINFIELD EMERGENCY DPT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</si>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</sst>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opLeftCell="A45" zoomScale="75" zoomScaleNormal="75" zoomScaleSheetLayoutView="75" workbookViewId="0">
      <selection activeCell="J53" sqref="J53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7.42578125" style="55" bestFit="1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192740131</v>
      </c>
      <c r="D13" s="22">
        <v>48818546</v>
      </c>
      <c r="E13" s="22">
        <f t="shared" ref="E13:E22" si="0">D13-C13</f>
        <v>-143921585</v>
      </c>
      <c r="F13" s="23">
        <f t="shared" ref="F13:F22" si="1">IF(C13=0,0,E13/C13)</f>
        <v>-0.74671312224022512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36077266</v>
      </c>
      <c r="D15" s="22">
        <v>37772680</v>
      </c>
      <c r="E15" s="22">
        <f t="shared" si="0"/>
        <v>1695414</v>
      </c>
      <c r="F15" s="23">
        <f t="shared" si="1"/>
        <v>4.6993971217220286E-2</v>
      </c>
    </row>
    <row r="16" spans="1:8" ht="24" customHeight="1" x14ac:dyDescent="0.2">
      <c r="A16" s="20">
        <v>4</v>
      </c>
      <c r="B16" s="21" t="s">
        <v>19</v>
      </c>
      <c r="C16" s="22">
        <v>5448010</v>
      </c>
      <c r="D16" s="22">
        <v>4642995</v>
      </c>
      <c r="E16" s="22">
        <f t="shared" si="0"/>
        <v>-805015</v>
      </c>
      <c r="F16" s="23">
        <f t="shared" si="1"/>
        <v>-0.1477631281880907</v>
      </c>
    </row>
    <row r="17" spans="1:11" ht="24" customHeight="1" x14ac:dyDescent="0.2">
      <c r="A17" s="20">
        <v>5</v>
      </c>
      <c r="B17" s="21" t="s">
        <v>20</v>
      </c>
      <c r="C17" s="22">
        <v>2036239</v>
      </c>
      <c r="D17" s="22">
        <v>244966</v>
      </c>
      <c r="E17" s="22">
        <f t="shared" si="0"/>
        <v>-1791273</v>
      </c>
      <c r="F17" s="23">
        <f t="shared" si="1"/>
        <v>-0.87969683323028391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3621065</v>
      </c>
      <c r="D19" s="22">
        <v>3761059</v>
      </c>
      <c r="E19" s="22">
        <f t="shared" si="0"/>
        <v>139994</v>
      </c>
      <c r="F19" s="23">
        <f t="shared" si="1"/>
        <v>3.8661001666636746E-2</v>
      </c>
    </row>
    <row r="20" spans="1:11" ht="24" customHeight="1" x14ac:dyDescent="0.2">
      <c r="A20" s="20">
        <v>8</v>
      </c>
      <c r="B20" s="21" t="s">
        <v>23</v>
      </c>
      <c r="C20" s="22">
        <v>3040704</v>
      </c>
      <c r="D20" s="22">
        <v>3293327</v>
      </c>
      <c r="E20" s="22">
        <f t="shared" si="0"/>
        <v>252623</v>
      </c>
      <c r="F20" s="23">
        <f t="shared" si="1"/>
        <v>8.3080431373787123E-2</v>
      </c>
    </row>
    <row r="21" spans="1:11" ht="24" customHeight="1" x14ac:dyDescent="0.2">
      <c r="A21" s="20">
        <v>9</v>
      </c>
      <c r="B21" s="21" t="s">
        <v>24</v>
      </c>
      <c r="C21" s="22">
        <v>958264</v>
      </c>
      <c r="D21" s="22">
        <v>49423</v>
      </c>
      <c r="E21" s="22">
        <f t="shared" si="0"/>
        <v>-908841</v>
      </c>
      <c r="F21" s="23">
        <f t="shared" si="1"/>
        <v>-0.9484244425335816</v>
      </c>
    </row>
    <row r="22" spans="1:11" ht="24" customHeight="1" x14ac:dyDescent="0.25">
      <c r="A22" s="24"/>
      <c r="B22" s="25" t="s">
        <v>25</v>
      </c>
      <c r="C22" s="26">
        <f>SUM(C13:C21)</f>
        <v>243921679</v>
      </c>
      <c r="D22" s="26">
        <f>SUM(D13:D21)</f>
        <v>98582996</v>
      </c>
      <c r="E22" s="26">
        <f t="shared" si="0"/>
        <v>-145338683</v>
      </c>
      <c r="F22" s="27">
        <f t="shared" si="1"/>
        <v>-0.59584159799096825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21400841</v>
      </c>
      <c r="D25" s="22">
        <v>4523690</v>
      </c>
      <c r="E25" s="22">
        <f>D25-C25</f>
        <v>-16877151</v>
      </c>
      <c r="F25" s="23">
        <f>IF(C25=0,0,E25/C25)</f>
        <v>-0.78862092382257309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134705505</v>
      </c>
      <c r="D26" s="22">
        <v>359376703</v>
      </c>
      <c r="E26" s="22">
        <f>D26-C26</f>
        <v>224671198</v>
      </c>
      <c r="F26" s="23">
        <f>IF(C26=0,0,E26/C26)</f>
        <v>1.6678694608657605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156106346</v>
      </c>
      <c r="D29" s="26">
        <f>SUM(D25:D28)</f>
        <v>363900393</v>
      </c>
      <c r="E29" s="26">
        <f>D29-C29</f>
        <v>207794047</v>
      </c>
      <c r="F29" s="27">
        <f>IF(C29=0,0,E29/C29)</f>
        <v>1.3311057002128537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13785077</v>
      </c>
      <c r="D33" s="22">
        <v>12438939</v>
      </c>
      <c r="E33" s="22">
        <f>D33-C33</f>
        <v>-1346138</v>
      </c>
      <c r="F33" s="23">
        <f>IF(C33=0,0,E33/C33)</f>
        <v>-9.7651830308963822E-2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306818887</v>
      </c>
      <c r="D36" s="22">
        <v>309945935</v>
      </c>
      <c r="E36" s="22">
        <f>D36-C36</f>
        <v>3127048</v>
      </c>
      <c r="F36" s="23">
        <f>IF(C36=0,0,E36/C36)</f>
        <v>1.0191836723532603E-2</v>
      </c>
    </row>
    <row r="37" spans="1:8" ht="24" customHeight="1" x14ac:dyDescent="0.2">
      <c r="A37" s="20">
        <v>2</v>
      </c>
      <c r="B37" s="21" t="s">
        <v>39</v>
      </c>
      <c r="C37" s="22">
        <v>188485953</v>
      </c>
      <c r="D37" s="22">
        <v>200112441</v>
      </c>
      <c r="E37" s="22">
        <f>D37-C37</f>
        <v>11626488</v>
      </c>
      <c r="F37" s="23">
        <f>IF(C37=0,0,E37/C37)</f>
        <v>6.1683578086055041E-2</v>
      </c>
    </row>
    <row r="38" spans="1:8" ht="24" customHeight="1" x14ac:dyDescent="0.25">
      <c r="A38" s="24"/>
      <c r="B38" s="25" t="s">
        <v>40</v>
      </c>
      <c r="C38" s="26">
        <f>C36-C37</f>
        <v>118332934</v>
      </c>
      <c r="D38" s="26">
        <f>D36-D37</f>
        <v>109833494</v>
      </c>
      <c r="E38" s="26">
        <f>D38-C38</f>
        <v>-8499440</v>
      </c>
      <c r="F38" s="27">
        <f>IF(C38=0,0,E38/C38)</f>
        <v>-7.1826495910259441E-2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1246289</v>
      </c>
      <c r="D40" s="22">
        <v>4494626</v>
      </c>
      <c r="E40" s="22">
        <f>D40-C40</f>
        <v>3248337</v>
      </c>
      <c r="F40" s="23">
        <f>IF(C40=0,0,E40/C40)</f>
        <v>2.6064075025937004</v>
      </c>
    </row>
    <row r="41" spans="1:8" ht="24" customHeight="1" x14ac:dyDescent="0.25">
      <c r="A41" s="24"/>
      <c r="B41" s="25" t="s">
        <v>42</v>
      </c>
      <c r="C41" s="26">
        <f>+C38+C40</f>
        <v>119579223</v>
      </c>
      <c r="D41" s="26">
        <f>+D38+D40</f>
        <v>114328120</v>
      </c>
      <c r="E41" s="26">
        <f>D41-C41</f>
        <v>-5251103</v>
      </c>
      <c r="F41" s="27">
        <f>IF(C41=0,0,E41/C41)</f>
        <v>-4.3913172106829962E-2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533392325</v>
      </c>
      <c r="D43" s="26">
        <f>D22+D29+D31+D32+D33+D41</f>
        <v>589250448</v>
      </c>
      <c r="E43" s="26">
        <f>D43-C43</f>
        <v>55858123</v>
      </c>
      <c r="F43" s="27">
        <f>IF(C43=0,0,E43/C43)</f>
        <v>0.10472239734608105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6815141</v>
      </c>
      <c r="D49" s="22">
        <v>5601936</v>
      </c>
      <c r="E49" s="22">
        <f t="shared" ref="E49:E56" si="2">D49-C49</f>
        <v>-1213205</v>
      </c>
      <c r="F49" s="23">
        <f t="shared" ref="F49:F56" si="3">IF(C49=0,0,E49/C49)</f>
        <v>-0.17801612615204879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6080822</v>
      </c>
      <c r="D50" s="22">
        <v>4123322</v>
      </c>
      <c r="E50" s="22">
        <f t="shared" si="2"/>
        <v>-1957500</v>
      </c>
      <c r="F50" s="23">
        <f t="shared" si="3"/>
        <v>-0.32191371495498472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9211505</v>
      </c>
      <c r="D51" s="22">
        <v>6879937</v>
      </c>
      <c r="E51" s="22">
        <f t="shared" si="2"/>
        <v>-2331568</v>
      </c>
      <c r="F51" s="23">
        <f t="shared" si="3"/>
        <v>-0.25311477331880078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1676365</v>
      </c>
      <c r="D52" s="22">
        <v>5661723</v>
      </c>
      <c r="E52" s="22">
        <f t="shared" si="2"/>
        <v>3985358</v>
      </c>
      <c r="F52" s="23">
        <f t="shared" si="3"/>
        <v>2.377380821002586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399931</v>
      </c>
      <c r="D54" s="22">
        <v>432914</v>
      </c>
      <c r="E54" s="22">
        <f t="shared" si="2"/>
        <v>32983</v>
      </c>
      <c r="F54" s="23">
        <f t="shared" si="3"/>
        <v>8.2471726372799314E-2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11943373</v>
      </c>
      <c r="D55" s="22">
        <v>9554228</v>
      </c>
      <c r="E55" s="22">
        <f t="shared" si="2"/>
        <v>-2389145</v>
      </c>
      <c r="F55" s="23">
        <f t="shared" si="3"/>
        <v>-0.2000393858585845</v>
      </c>
    </row>
    <row r="56" spans="1:6" ht="24" customHeight="1" x14ac:dyDescent="0.25">
      <c r="A56" s="24"/>
      <c r="B56" s="25" t="s">
        <v>54</v>
      </c>
      <c r="C56" s="26">
        <f>SUM(C49:C55)</f>
        <v>36127137</v>
      </c>
      <c r="D56" s="26">
        <f>SUM(D49:D55)</f>
        <v>32254060</v>
      </c>
      <c r="E56" s="26">
        <f t="shared" si="2"/>
        <v>-3873077</v>
      </c>
      <c r="F56" s="27">
        <f t="shared" si="3"/>
        <v>-0.10720686225426609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58700068</v>
      </c>
      <c r="D59" s="22">
        <v>58700068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9672504</v>
      </c>
      <c r="D60" s="22">
        <v>9166147</v>
      </c>
      <c r="E60" s="22">
        <f>D60-C60</f>
        <v>-506357</v>
      </c>
      <c r="F60" s="23">
        <f>IF(C60=0,0,E60/C60)</f>
        <v>-5.235014635300228E-2</v>
      </c>
    </row>
    <row r="61" spans="1:6" ht="24" customHeight="1" x14ac:dyDescent="0.25">
      <c r="A61" s="24"/>
      <c r="B61" s="25" t="s">
        <v>58</v>
      </c>
      <c r="C61" s="26">
        <f>SUM(C59:C60)</f>
        <v>68372572</v>
      </c>
      <c r="D61" s="26">
        <f>SUM(D59:D60)</f>
        <v>67866215</v>
      </c>
      <c r="E61" s="26">
        <f>D61-C61</f>
        <v>-506357</v>
      </c>
      <c r="F61" s="27">
        <f>IF(C61=0,0,E61/C61)</f>
        <v>-7.4058498194275917E-3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49998130</v>
      </c>
      <c r="D63" s="22">
        <v>60979775</v>
      </c>
      <c r="E63" s="22">
        <f>D63-C63</f>
        <v>10981645</v>
      </c>
      <c r="F63" s="23">
        <f>IF(C63=0,0,E63/C63)</f>
        <v>0.2196411145776852</v>
      </c>
    </row>
    <row r="64" spans="1:6" ht="24" customHeight="1" x14ac:dyDescent="0.2">
      <c r="A64" s="20">
        <v>4</v>
      </c>
      <c r="B64" s="21" t="s">
        <v>60</v>
      </c>
      <c r="C64" s="22">
        <v>11817599</v>
      </c>
      <c r="D64" s="22">
        <v>11657763</v>
      </c>
      <c r="E64" s="22">
        <f>D64-C64</f>
        <v>-159836</v>
      </c>
      <c r="F64" s="23">
        <f>IF(C64=0,0,E64/C64)</f>
        <v>-1.3525251618370196E-2</v>
      </c>
    </row>
    <row r="65" spans="1:6" ht="24" customHeight="1" x14ac:dyDescent="0.25">
      <c r="A65" s="24"/>
      <c r="B65" s="25" t="s">
        <v>61</v>
      </c>
      <c r="C65" s="26">
        <f>SUM(C61:C64)</f>
        <v>130188301</v>
      </c>
      <c r="D65" s="26">
        <f>SUM(D61:D64)</f>
        <v>140503753</v>
      </c>
      <c r="E65" s="26">
        <f>D65-C65</f>
        <v>10315452</v>
      </c>
      <c r="F65" s="27">
        <f>IF(C65=0,0,E65/C65)</f>
        <v>7.9234861510328797E-2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355064529</v>
      </c>
      <c r="D70" s="22">
        <v>403758252</v>
      </c>
      <c r="E70" s="22">
        <f>D70-C70</f>
        <v>48693723</v>
      </c>
      <c r="F70" s="23">
        <f>IF(C70=0,0,E70/C70)</f>
        <v>0.13714048862368902</v>
      </c>
    </row>
    <row r="71" spans="1:6" ht="24" customHeight="1" x14ac:dyDescent="0.2">
      <c r="A71" s="20">
        <v>2</v>
      </c>
      <c r="B71" s="21" t="s">
        <v>65</v>
      </c>
      <c r="C71" s="22">
        <v>3907265</v>
      </c>
      <c r="D71" s="22">
        <v>4543173</v>
      </c>
      <c r="E71" s="22">
        <f>D71-C71</f>
        <v>635908</v>
      </c>
      <c r="F71" s="23">
        <f>IF(C71=0,0,E71/C71)</f>
        <v>0.16275015899868578</v>
      </c>
    </row>
    <row r="72" spans="1:6" ht="24" customHeight="1" x14ac:dyDescent="0.2">
      <c r="A72" s="20">
        <v>3</v>
      </c>
      <c r="B72" s="21" t="s">
        <v>66</v>
      </c>
      <c r="C72" s="22">
        <v>8105093</v>
      </c>
      <c r="D72" s="22">
        <v>8191210</v>
      </c>
      <c r="E72" s="22">
        <f>D72-C72</f>
        <v>86117</v>
      </c>
      <c r="F72" s="23">
        <f>IF(C72=0,0,E72/C72)</f>
        <v>1.0625047732333238E-2</v>
      </c>
    </row>
    <row r="73" spans="1:6" ht="24" customHeight="1" x14ac:dyDescent="0.25">
      <c r="A73" s="20"/>
      <c r="B73" s="25" t="s">
        <v>67</v>
      </c>
      <c r="C73" s="26">
        <f>SUM(C70:C72)</f>
        <v>367076887</v>
      </c>
      <c r="D73" s="26">
        <f>SUM(D70:D72)</f>
        <v>416492635</v>
      </c>
      <c r="E73" s="26">
        <f>D73-C73</f>
        <v>49415748</v>
      </c>
      <c r="F73" s="27">
        <f>IF(C73=0,0,E73/C73)</f>
        <v>0.13461961172183526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533392325</v>
      </c>
      <c r="D75" s="26">
        <f>D56+D65+D67+D73</f>
        <v>589250448</v>
      </c>
      <c r="E75" s="26">
        <f>D75-C75</f>
        <v>55858123</v>
      </c>
      <c r="F75" s="27">
        <f>IF(C75=0,0,E75/C75)</f>
        <v>0.10472239734608105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FILING&amp;RWILLIAM W. BACKUS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70" zoomScaleNormal="70" zoomScaleSheetLayoutView="75" workbookViewId="0">
      <selection activeCell="I11" sqref="I11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5" width="19" style="225" customWidth="1"/>
    <col min="6" max="6" width="18.7109375" style="56" customWidth="1"/>
    <col min="7" max="16384" width="9.140625" style="56"/>
  </cols>
  <sheetData>
    <row r="1" spans="1:5" ht="24" customHeight="1" x14ac:dyDescent="0.25">
      <c r="A1" s="766" t="s">
        <v>500</v>
      </c>
      <c r="B1" s="767"/>
      <c r="C1" s="767"/>
      <c r="D1" s="767"/>
      <c r="E1" s="768"/>
    </row>
    <row r="2" spans="1:5" ht="24" customHeight="1" x14ac:dyDescent="0.25">
      <c r="A2" s="766" t="s">
        <v>1</v>
      </c>
      <c r="B2" s="767"/>
      <c r="C2" s="767"/>
      <c r="D2" s="767"/>
      <c r="E2" s="768"/>
    </row>
    <row r="3" spans="1:5" ht="24" customHeight="1" x14ac:dyDescent="0.25">
      <c r="A3" s="766" t="s">
        <v>2</v>
      </c>
      <c r="B3" s="767"/>
      <c r="C3" s="767"/>
      <c r="D3" s="767"/>
      <c r="E3" s="768"/>
    </row>
    <row r="4" spans="1:5" ht="24" customHeight="1" x14ac:dyDescent="0.25">
      <c r="A4" s="766" t="s">
        <v>504</v>
      </c>
      <c r="B4" s="767"/>
      <c r="C4" s="767"/>
      <c r="D4" s="767"/>
      <c r="E4" s="768"/>
    </row>
    <row r="5" spans="1:5" ht="24" customHeight="1" x14ac:dyDescent="0.25">
      <c r="A5" s="766"/>
      <c r="B5" s="767"/>
      <c r="C5" s="767"/>
      <c r="D5" s="767"/>
      <c r="E5" s="768"/>
    </row>
    <row r="6" spans="1:5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</row>
    <row r="7" spans="1:5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</row>
    <row r="8" spans="1:5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</row>
    <row r="9" spans="1:5" ht="24" customHeight="1" x14ac:dyDescent="0.25">
      <c r="B9" s="62"/>
      <c r="C9" s="68"/>
      <c r="D9" s="68"/>
      <c r="E9" s="73"/>
    </row>
    <row r="10" spans="1:5" ht="24" customHeight="1" x14ac:dyDescent="0.25">
      <c r="A10" s="329" t="s">
        <v>14</v>
      </c>
      <c r="B10" s="210" t="s">
        <v>506</v>
      </c>
      <c r="C10" s="79"/>
      <c r="D10" s="79"/>
      <c r="E10" s="88"/>
    </row>
    <row r="11" spans="1:5" ht="24" customHeight="1" x14ac:dyDescent="0.2">
      <c r="A11" s="85">
        <v>1</v>
      </c>
      <c r="B11" s="75" t="s">
        <v>507</v>
      </c>
      <c r="C11" s="76">
        <v>309278921</v>
      </c>
      <c r="D11" s="76">
        <v>296518625</v>
      </c>
      <c r="E11" s="76">
        <v>312319077</v>
      </c>
    </row>
    <row r="12" spans="1:5" ht="24" customHeight="1" x14ac:dyDescent="0.2">
      <c r="A12" s="85">
        <v>2</v>
      </c>
      <c r="B12" s="75" t="s">
        <v>78</v>
      </c>
      <c r="C12" s="185">
        <v>9066949</v>
      </c>
      <c r="D12" s="185">
        <v>8526463</v>
      </c>
      <c r="E12" s="185">
        <v>6567660</v>
      </c>
    </row>
    <row r="13" spans="1:5" s="225" customFormat="1" ht="24" customHeight="1" x14ac:dyDescent="0.2">
      <c r="A13" s="85">
        <v>3</v>
      </c>
      <c r="B13" s="75" t="s">
        <v>80</v>
      </c>
      <c r="C13" s="76">
        <f>+C11+C12</f>
        <v>318345870</v>
      </c>
      <c r="D13" s="76">
        <f>+D11+D12</f>
        <v>305045088</v>
      </c>
      <c r="E13" s="76">
        <f>+E11+E12</f>
        <v>318886737</v>
      </c>
    </row>
    <row r="14" spans="1:5" s="225" customFormat="1" ht="24" customHeight="1" x14ac:dyDescent="0.2">
      <c r="A14" s="85">
        <v>4</v>
      </c>
      <c r="B14" s="75" t="s">
        <v>91</v>
      </c>
      <c r="C14" s="185">
        <v>273896036</v>
      </c>
      <c r="D14" s="185">
        <v>270284269</v>
      </c>
      <c r="E14" s="185">
        <v>286339541</v>
      </c>
    </row>
    <row r="15" spans="1:5" s="225" customFormat="1" ht="24" customHeight="1" x14ac:dyDescent="0.2">
      <c r="A15" s="85">
        <v>5</v>
      </c>
      <c r="B15" s="75" t="s">
        <v>92</v>
      </c>
      <c r="C15" s="76">
        <f>+C13-C14</f>
        <v>44449834</v>
      </c>
      <c r="D15" s="76">
        <f>+D13-D14</f>
        <v>34760819</v>
      </c>
      <c r="E15" s="76">
        <f>+E13-E14</f>
        <v>32547196</v>
      </c>
    </row>
    <row r="16" spans="1:5" s="225" customFormat="1" ht="24" customHeight="1" x14ac:dyDescent="0.2">
      <c r="A16" s="85">
        <v>6</v>
      </c>
      <c r="B16" s="75" t="s">
        <v>97</v>
      </c>
      <c r="C16" s="185">
        <v>11211547</v>
      </c>
      <c r="D16" s="185">
        <v>1852031</v>
      </c>
      <c r="E16" s="185">
        <v>31835956</v>
      </c>
    </row>
    <row r="17" spans="1:13" s="225" customFormat="1" ht="24" customHeight="1" x14ac:dyDescent="0.2">
      <c r="A17" s="85">
        <v>7</v>
      </c>
      <c r="B17" s="330" t="s">
        <v>321</v>
      </c>
      <c r="C17" s="76">
        <f>C15+C16</f>
        <v>55661381</v>
      </c>
      <c r="D17" s="76">
        <f>D15+D16</f>
        <v>36612850</v>
      </c>
      <c r="E17" s="76">
        <f>E15+E16</f>
        <v>64383152</v>
      </c>
    </row>
    <row r="18" spans="1:13" ht="24" customHeight="1" x14ac:dyDescent="0.25">
      <c r="A18" s="85"/>
      <c r="B18" s="330"/>
      <c r="C18" s="187"/>
      <c r="D18" s="187"/>
      <c r="E18" s="188"/>
    </row>
    <row r="19" spans="1:13" ht="24" customHeight="1" x14ac:dyDescent="0.25">
      <c r="A19" s="329" t="s">
        <v>26</v>
      </c>
      <c r="B19" s="72" t="s">
        <v>508</v>
      </c>
      <c r="C19" s="79"/>
      <c r="D19" s="79"/>
      <c r="E19" s="88"/>
      <c r="G19" s="331"/>
      <c r="H19" s="331"/>
      <c r="I19" s="331"/>
      <c r="J19" s="331"/>
      <c r="K19" s="331"/>
      <c r="L19" s="331"/>
      <c r="M19" s="331"/>
    </row>
    <row r="20" spans="1:13" ht="24" customHeight="1" x14ac:dyDescent="0.2">
      <c r="A20" s="332">
        <v>1</v>
      </c>
      <c r="B20" s="330" t="s">
        <v>509</v>
      </c>
      <c r="C20" s="189">
        <f>IF(+C27=0,0,+C24/+C27)</f>
        <v>0.13487735886702862</v>
      </c>
      <c r="D20" s="189">
        <f>IF(+D27=0,0,+D24/+D27)</f>
        <v>0.11326538063721608</v>
      </c>
      <c r="E20" s="189">
        <f>IF(+E27=0,0,+E24/+E27)</f>
        <v>9.2800370918684746E-2</v>
      </c>
      <c r="G20" s="331"/>
      <c r="H20" s="331"/>
      <c r="I20" s="331"/>
      <c r="J20" s="331"/>
      <c r="K20" s="331"/>
      <c r="L20" s="331"/>
      <c r="M20" s="331"/>
    </row>
    <row r="21" spans="1:13" ht="24" customHeight="1" x14ac:dyDescent="0.2">
      <c r="A21" s="332">
        <v>2</v>
      </c>
      <c r="B21" s="330" t="s">
        <v>510</v>
      </c>
      <c r="C21" s="189">
        <f>IF(+C27=0,0,+C26/+C27)</f>
        <v>3.4020011147253289E-2</v>
      </c>
      <c r="D21" s="189">
        <f>IF(+D27=0,0,+D26/+D27)</f>
        <v>6.0346965981130634E-3</v>
      </c>
      <c r="E21" s="189">
        <f>IF(+E27=0,0,+E26/+E27)</f>
        <v>9.0772443971853287E-2</v>
      </c>
      <c r="G21" s="331"/>
      <c r="H21" s="331"/>
      <c r="I21" s="331"/>
      <c r="J21" s="331"/>
      <c r="K21" s="331"/>
      <c r="L21" s="331"/>
      <c r="M21" s="331"/>
    </row>
    <row r="22" spans="1:13" ht="24" customHeight="1" x14ac:dyDescent="0.2">
      <c r="A22" s="332">
        <v>3</v>
      </c>
      <c r="B22" s="330" t="s">
        <v>511</v>
      </c>
      <c r="C22" s="189">
        <f>IF(+C27=0,0,+C28/+C27)</f>
        <v>0.1688973700142819</v>
      </c>
      <c r="D22" s="189">
        <f>IF(+D27=0,0,+D28/+D27)</f>
        <v>0.11930007723532915</v>
      </c>
      <c r="E22" s="189">
        <f>IF(+E27=0,0,+E28/+E27)</f>
        <v>0.18357281489053803</v>
      </c>
      <c r="G22" s="331"/>
      <c r="H22" s="331"/>
      <c r="I22" s="331"/>
      <c r="J22" s="331"/>
      <c r="K22" s="331"/>
      <c r="L22" s="331"/>
      <c r="M22" s="331"/>
    </row>
    <row r="23" spans="1:13" ht="24" customHeight="1" x14ac:dyDescent="0.2">
      <c r="A23" s="226"/>
      <c r="B23" s="75"/>
      <c r="C23" s="189"/>
      <c r="D23" s="189"/>
      <c r="E23" s="189"/>
      <c r="G23" s="331"/>
      <c r="H23" s="331"/>
      <c r="I23" s="331"/>
      <c r="J23" s="331"/>
      <c r="K23" s="331"/>
      <c r="L23" s="331"/>
      <c r="M23" s="331"/>
    </row>
    <row r="24" spans="1:13" ht="24" customHeight="1" x14ac:dyDescent="0.2">
      <c r="A24" s="226">
        <v>4</v>
      </c>
      <c r="B24" s="75" t="s">
        <v>92</v>
      </c>
      <c r="C24" s="76">
        <f>+C15</f>
        <v>44449834</v>
      </c>
      <c r="D24" s="76">
        <f>+D15</f>
        <v>34760819</v>
      </c>
      <c r="E24" s="76">
        <f>+E15</f>
        <v>32547196</v>
      </c>
      <c r="G24" s="331"/>
      <c r="H24" s="331"/>
      <c r="I24" s="331"/>
      <c r="J24" s="331"/>
      <c r="K24" s="331"/>
      <c r="L24" s="331"/>
      <c r="M24" s="331"/>
    </row>
    <row r="25" spans="1:13" ht="24" customHeight="1" x14ac:dyDescent="0.2">
      <c r="A25" s="226">
        <v>5</v>
      </c>
      <c r="B25" s="75" t="s">
        <v>80</v>
      </c>
      <c r="C25" s="76">
        <f>+C13</f>
        <v>318345870</v>
      </c>
      <c r="D25" s="76">
        <f>+D13</f>
        <v>305045088</v>
      </c>
      <c r="E25" s="76">
        <f>+E13</f>
        <v>318886737</v>
      </c>
      <c r="G25" s="331"/>
      <c r="H25" s="331"/>
      <c r="I25" s="331"/>
      <c r="J25" s="331"/>
      <c r="K25" s="331"/>
      <c r="L25" s="331"/>
      <c r="M25" s="331"/>
    </row>
    <row r="26" spans="1:13" ht="24" customHeight="1" x14ac:dyDescent="0.2">
      <c r="A26" s="226">
        <v>6</v>
      </c>
      <c r="B26" s="75" t="s">
        <v>97</v>
      </c>
      <c r="C26" s="76">
        <f>+C16</f>
        <v>11211547</v>
      </c>
      <c r="D26" s="76">
        <f>+D16</f>
        <v>1852031</v>
      </c>
      <c r="E26" s="76">
        <f>+E16</f>
        <v>31835956</v>
      </c>
      <c r="G26" s="331"/>
      <c r="H26" s="331"/>
      <c r="I26" s="331"/>
      <c r="J26" s="331"/>
      <c r="K26" s="331"/>
      <c r="L26" s="331"/>
      <c r="M26" s="331"/>
    </row>
    <row r="27" spans="1:13" ht="24" customHeight="1" x14ac:dyDescent="0.2">
      <c r="A27" s="226">
        <v>7</v>
      </c>
      <c r="B27" s="75" t="s">
        <v>326</v>
      </c>
      <c r="C27" s="76">
        <f>SUM(C25:C26)</f>
        <v>329557417</v>
      </c>
      <c r="D27" s="76">
        <f>SUM(D25:D26)</f>
        <v>306897119</v>
      </c>
      <c r="E27" s="76">
        <f>SUM(E25:E26)</f>
        <v>350722693</v>
      </c>
      <c r="G27" s="331"/>
      <c r="H27" s="331"/>
      <c r="I27" s="331"/>
      <c r="J27" s="331"/>
      <c r="K27" s="331"/>
      <c r="L27" s="331"/>
      <c r="M27" s="331"/>
    </row>
    <row r="28" spans="1:13" ht="24" customHeight="1" x14ac:dyDescent="0.2">
      <c r="A28" s="226">
        <v>8</v>
      </c>
      <c r="B28" s="330" t="s">
        <v>321</v>
      </c>
      <c r="C28" s="76">
        <f>+C17</f>
        <v>55661381</v>
      </c>
      <c r="D28" s="76">
        <f>+D17</f>
        <v>36612850</v>
      </c>
      <c r="E28" s="76">
        <f>+E17</f>
        <v>64383152</v>
      </c>
      <c r="G28" s="331"/>
      <c r="H28" s="331"/>
      <c r="I28" s="331"/>
      <c r="J28" s="331"/>
      <c r="K28" s="331"/>
      <c r="L28" s="331"/>
      <c r="M28" s="331"/>
    </row>
    <row r="29" spans="1:13" ht="24" customHeight="1" x14ac:dyDescent="0.2">
      <c r="A29" s="85"/>
      <c r="E29" s="56"/>
      <c r="G29" s="331"/>
      <c r="H29" s="331"/>
      <c r="I29" s="331"/>
      <c r="J29" s="331"/>
      <c r="K29" s="331"/>
      <c r="L29" s="331"/>
      <c r="M29" s="331"/>
    </row>
    <row r="30" spans="1:13" ht="24" customHeight="1" x14ac:dyDescent="0.25">
      <c r="A30" s="179" t="s">
        <v>36</v>
      </c>
      <c r="B30" s="191" t="s">
        <v>512</v>
      </c>
      <c r="C30" s="79"/>
      <c r="D30" s="79"/>
      <c r="E30" s="88"/>
      <c r="G30" s="331"/>
      <c r="H30" s="331"/>
      <c r="I30" s="331"/>
      <c r="J30" s="331"/>
      <c r="K30" s="331"/>
      <c r="L30" s="331"/>
      <c r="M30" s="331"/>
    </row>
    <row r="31" spans="1:13" ht="24" customHeight="1" x14ac:dyDescent="0.2">
      <c r="A31" s="85">
        <v>1</v>
      </c>
      <c r="B31" s="75" t="s">
        <v>513</v>
      </c>
      <c r="C31" s="76">
        <v>344915268</v>
      </c>
      <c r="D31" s="76">
        <v>357187808</v>
      </c>
      <c r="E31" s="76">
        <v>406642940</v>
      </c>
      <c r="G31" s="331"/>
      <c r="H31" s="331"/>
      <c r="I31" s="331"/>
      <c r="J31" s="331"/>
      <c r="K31" s="331"/>
      <c r="L31" s="331"/>
      <c r="M31" s="331"/>
    </row>
    <row r="32" spans="1:13" ht="24" customHeight="1" x14ac:dyDescent="0.2">
      <c r="A32" s="74">
        <v>2</v>
      </c>
      <c r="B32" s="75" t="s">
        <v>514</v>
      </c>
      <c r="C32" s="76">
        <v>356802714</v>
      </c>
      <c r="D32" s="76">
        <v>369200166</v>
      </c>
      <c r="E32" s="76">
        <v>419377323</v>
      </c>
      <c r="G32" s="331"/>
      <c r="H32" s="331"/>
      <c r="I32" s="331"/>
      <c r="J32" s="331"/>
      <c r="K32" s="331"/>
      <c r="L32" s="331"/>
      <c r="M32" s="331"/>
    </row>
    <row r="33" spans="1:13" ht="24" customHeight="1" x14ac:dyDescent="0.2">
      <c r="A33" s="74">
        <v>3</v>
      </c>
      <c r="B33" s="330" t="s">
        <v>515</v>
      </c>
      <c r="C33" s="76">
        <v>29497153</v>
      </c>
      <c r="D33" s="76">
        <f>+D32-C32</f>
        <v>12397452</v>
      </c>
      <c r="E33" s="76">
        <f>+E32-D32</f>
        <v>50177157</v>
      </c>
      <c r="G33" s="331"/>
      <c r="H33" s="331"/>
      <c r="I33" s="331"/>
      <c r="J33" s="331"/>
      <c r="K33" s="331"/>
      <c r="L33" s="331"/>
      <c r="M33" s="331"/>
    </row>
    <row r="34" spans="1:13" ht="24" customHeight="1" x14ac:dyDescent="0.2">
      <c r="A34" s="74">
        <v>4</v>
      </c>
      <c r="B34" s="330" t="s">
        <v>516</v>
      </c>
      <c r="C34" s="193">
        <v>1.0901000000000001</v>
      </c>
      <c r="D34" s="193">
        <f>IF(C32=0,0,+D33/C32)</f>
        <v>3.474595767788919E-2</v>
      </c>
      <c r="E34" s="193">
        <f>IF(D32=0,0,+E33/D32)</f>
        <v>0.13590773141743387</v>
      </c>
    </row>
    <row r="35" spans="1:13" ht="24" customHeight="1" x14ac:dyDescent="0.2">
      <c r="E35" s="56"/>
    </row>
    <row r="36" spans="1:13" ht="15.75" customHeight="1" x14ac:dyDescent="0.25">
      <c r="A36" s="333" t="s">
        <v>170</v>
      </c>
      <c r="B36" s="334" t="s">
        <v>352</v>
      </c>
      <c r="C36" s="335"/>
      <c r="D36" s="335"/>
      <c r="E36" s="336"/>
    </row>
    <row r="37" spans="1:13" ht="24" customHeight="1" x14ac:dyDescent="0.25">
      <c r="A37" s="333"/>
      <c r="B37" s="334"/>
      <c r="C37" s="335"/>
      <c r="D37" s="335"/>
      <c r="E37" s="336"/>
    </row>
    <row r="38" spans="1:13" ht="24" customHeight="1" x14ac:dyDescent="0.25">
      <c r="A38" s="333">
        <v>1</v>
      </c>
      <c r="B38" s="337" t="s">
        <v>353</v>
      </c>
      <c r="C38" s="338">
        <f>IF(+C40=0,0,+C39/+C40)</f>
        <v>5.7846249415445152</v>
      </c>
      <c r="D38" s="338">
        <f>IF(+D40=0,0,+D39/+D40)</f>
        <v>6.5549319579192451</v>
      </c>
      <c r="E38" s="338">
        <f>IF(+E40=0,0,+E39/+E40)</f>
        <v>3.0486009653251736</v>
      </c>
    </row>
    <row r="39" spans="1:13" ht="24" customHeight="1" x14ac:dyDescent="0.2">
      <c r="A39" s="339">
        <v>2</v>
      </c>
      <c r="B39" s="340" t="s">
        <v>25</v>
      </c>
      <c r="C39" s="341">
        <v>238871708</v>
      </c>
      <c r="D39" s="341">
        <v>245974392</v>
      </c>
      <c r="E39" s="341">
        <v>100491622</v>
      </c>
    </row>
    <row r="40" spans="1:13" ht="24" customHeight="1" x14ac:dyDescent="0.2">
      <c r="A40" s="339">
        <v>3</v>
      </c>
      <c r="B40" s="340" t="s">
        <v>54</v>
      </c>
      <c r="C40" s="341">
        <v>41294243</v>
      </c>
      <c r="D40" s="341">
        <v>37525087</v>
      </c>
      <c r="E40" s="341">
        <v>32963193</v>
      </c>
    </row>
    <row r="41" spans="1:13" ht="24" customHeight="1" x14ac:dyDescent="0.25">
      <c r="A41" s="339"/>
      <c r="B41" s="342"/>
      <c r="C41" s="335"/>
      <c r="D41" s="335"/>
      <c r="E41" s="336"/>
    </row>
    <row r="42" spans="1:13" ht="24" customHeight="1" x14ac:dyDescent="0.25">
      <c r="A42" s="333">
        <v>4</v>
      </c>
      <c r="B42" s="337" t="s">
        <v>354</v>
      </c>
      <c r="C42" s="343">
        <f>IF((C48/365)=0,0,+C45/(C48/365))</f>
        <v>265.6662588689486</v>
      </c>
      <c r="D42" s="343">
        <f>IF((D48/365)=0,0,+D45/(D48/365))</f>
        <v>276.70830762915654</v>
      </c>
      <c r="E42" s="343">
        <f>IF((E48/365)=0,0,+E45/(E48/365))</f>
        <v>66.60675554219327</v>
      </c>
    </row>
    <row r="43" spans="1:13" ht="24" customHeight="1" x14ac:dyDescent="0.2">
      <c r="A43" s="339">
        <v>5</v>
      </c>
      <c r="B43" s="344" t="s">
        <v>16</v>
      </c>
      <c r="C43" s="345">
        <v>187885111</v>
      </c>
      <c r="D43" s="345">
        <v>193329590</v>
      </c>
      <c r="E43" s="345">
        <v>49673821</v>
      </c>
    </row>
    <row r="44" spans="1:13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3" ht="24" customHeight="1" x14ac:dyDescent="0.2">
      <c r="A45" s="339">
        <v>7</v>
      </c>
      <c r="B45" s="340" t="s">
        <v>355</v>
      </c>
      <c r="C45" s="341">
        <f>+C43+C44</f>
        <v>187885111</v>
      </c>
      <c r="D45" s="341">
        <f>+D43+D44</f>
        <v>193329590</v>
      </c>
      <c r="E45" s="341">
        <f>+E43+E44</f>
        <v>49673821</v>
      </c>
    </row>
    <row r="46" spans="1:13" ht="24" customHeight="1" x14ac:dyDescent="0.2">
      <c r="A46" s="339">
        <v>8</v>
      </c>
      <c r="B46" s="340" t="s">
        <v>334</v>
      </c>
      <c r="C46" s="341">
        <f>+C14</f>
        <v>273896036</v>
      </c>
      <c r="D46" s="341">
        <f>+D14</f>
        <v>270284269</v>
      </c>
      <c r="E46" s="341">
        <f>+E14</f>
        <v>286339541</v>
      </c>
    </row>
    <row r="47" spans="1:13" ht="24" customHeight="1" x14ac:dyDescent="0.2">
      <c r="A47" s="339">
        <v>9</v>
      </c>
      <c r="B47" s="340" t="s">
        <v>356</v>
      </c>
      <c r="C47" s="341">
        <v>15759885</v>
      </c>
      <c r="D47" s="341">
        <v>15267349</v>
      </c>
      <c r="E47" s="341">
        <v>14130746</v>
      </c>
    </row>
    <row r="48" spans="1:13" ht="24" customHeight="1" x14ac:dyDescent="0.2">
      <c r="A48" s="339">
        <v>10</v>
      </c>
      <c r="B48" s="340" t="s">
        <v>357</v>
      </c>
      <c r="C48" s="341">
        <f>+C46-C47</f>
        <v>258136151</v>
      </c>
      <c r="D48" s="341">
        <f>+D46-D47</f>
        <v>255016920</v>
      </c>
      <c r="E48" s="341">
        <f>+E46-E47</f>
        <v>272208795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35.279415938598675</v>
      </c>
      <c r="D50" s="350">
        <f>IF((D55/365)=0,0,+D54/(D55/365))</f>
        <v>33.737121706941679</v>
      </c>
      <c r="E50" s="350">
        <f>IF((E55/365)=0,0,+E54/(E55/365))</f>
        <v>37.298102462693947</v>
      </c>
    </row>
    <row r="51" spans="1:5" ht="24" customHeight="1" x14ac:dyDescent="0.2">
      <c r="A51" s="339">
        <v>12</v>
      </c>
      <c r="B51" s="344" t="s">
        <v>359</v>
      </c>
      <c r="C51" s="351">
        <v>38557357</v>
      </c>
      <c r="D51" s="351">
        <v>37156767</v>
      </c>
      <c r="E51" s="351">
        <v>38794756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8663714</v>
      </c>
      <c r="D53" s="341">
        <v>9749411</v>
      </c>
      <c r="E53" s="341">
        <v>6879937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29893643</v>
      </c>
      <c r="D54" s="352">
        <f>+D51+D52-D53</f>
        <v>27407356</v>
      </c>
      <c r="E54" s="352">
        <f>+E51+E52-E53</f>
        <v>31914819</v>
      </c>
    </row>
    <row r="55" spans="1:5" ht="24" customHeight="1" x14ac:dyDescent="0.2">
      <c r="A55" s="339">
        <v>16</v>
      </c>
      <c r="B55" s="340" t="s">
        <v>75</v>
      </c>
      <c r="C55" s="341">
        <f>+C11</f>
        <v>309278921</v>
      </c>
      <c r="D55" s="341">
        <f>+D11</f>
        <v>296518625</v>
      </c>
      <c r="E55" s="341">
        <f>+E11</f>
        <v>312319077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58.389336931734142</v>
      </c>
      <c r="D57" s="355">
        <f>IF((D61/365)=0,0,+D58/(D61/365))</f>
        <v>53.708815693484176</v>
      </c>
      <c r="E57" s="355">
        <f>IF((E61/365)=0,0,+E58/(E61/365))</f>
        <v>44.19976747995964</v>
      </c>
    </row>
    <row r="58" spans="1:5" ht="24" customHeight="1" x14ac:dyDescent="0.2">
      <c r="A58" s="339">
        <v>18</v>
      </c>
      <c r="B58" s="340" t="s">
        <v>54</v>
      </c>
      <c r="C58" s="353">
        <f>+C40</f>
        <v>41294243</v>
      </c>
      <c r="D58" s="353">
        <f>+D40</f>
        <v>37525087</v>
      </c>
      <c r="E58" s="353">
        <f>+E40</f>
        <v>32963193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273896036</v>
      </c>
      <c r="D59" s="353">
        <f t="shared" si="0"/>
        <v>270284269</v>
      </c>
      <c r="E59" s="353">
        <f t="shared" si="0"/>
        <v>286339541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15759885</v>
      </c>
      <c r="D60" s="356">
        <f t="shared" si="0"/>
        <v>15267349</v>
      </c>
      <c r="E60" s="356">
        <f t="shared" si="0"/>
        <v>14130746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258136151</v>
      </c>
      <c r="D61" s="353">
        <f>+D59-D60</f>
        <v>255016920</v>
      </c>
      <c r="E61" s="353">
        <f>+E59-E60</f>
        <v>272208795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68.844193088386547</v>
      </c>
      <c r="D65" s="357">
        <f>IF(D67=0,0,(D66/D67)*100)</f>
        <v>68.737751439025672</v>
      </c>
      <c r="E65" s="357">
        <f>IF(E67=0,0,(E66/E67)*100)</f>
        <v>70.739879750781569</v>
      </c>
    </row>
    <row r="66" spans="1:5" ht="24" customHeight="1" x14ac:dyDescent="0.2">
      <c r="A66" s="339">
        <v>2</v>
      </c>
      <c r="B66" s="340" t="s">
        <v>67</v>
      </c>
      <c r="C66" s="353">
        <f>+C32</f>
        <v>356802714</v>
      </c>
      <c r="D66" s="353">
        <f>+D32</f>
        <v>369200166</v>
      </c>
      <c r="E66" s="353">
        <f>+E32</f>
        <v>419377323</v>
      </c>
    </row>
    <row r="67" spans="1:5" ht="24" customHeight="1" x14ac:dyDescent="0.2">
      <c r="A67" s="339">
        <v>3</v>
      </c>
      <c r="B67" s="340" t="s">
        <v>43</v>
      </c>
      <c r="C67" s="353">
        <v>518275686</v>
      </c>
      <c r="D67" s="353">
        <v>537114116</v>
      </c>
      <c r="E67" s="353">
        <v>592844269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65.228502618770193</v>
      </c>
      <c r="D69" s="357">
        <f>IF(D75=0,0,(D72/D75)*100)</f>
        <v>48.990883736155112</v>
      </c>
      <c r="E69" s="357">
        <f>IF(E75=0,0,(E72/E75)*100)</f>
        <v>77.868054129604729</v>
      </c>
    </row>
    <row r="70" spans="1:5" ht="24" customHeight="1" x14ac:dyDescent="0.2">
      <c r="A70" s="339">
        <v>5</v>
      </c>
      <c r="B70" s="340" t="s">
        <v>366</v>
      </c>
      <c r="C70" s="353">
        <f>+C28</f>
        <v>55661381</v>
      </c>
      <c r="D70" s="353">
        <f>+D28</f>
        <v>36612850</v>
      </c>
      <c r="E70" s="353">
        <f>+E28</f>
        <v>64383152</v>
      </c>
    </row>
    <row r="71" spans="1:5" ht="24" customHeight="1" x14ac:dyDescent="0.2">
      <c r="A71" s="339">
        <v>6</v>
      </c>
      <c r="B71" s="340" t="s">
        <v>356</v>
      </c>
      <c r="C71" s="356">
        <f>+C47</f>
        <v>15759885</v>
      </c>
      <c r="D71" s="356">
        <f>+D47</f>
        <v>15267349</v>
      </c>
      <c r="E71" s="356">
        <f>+E47</f>
        <v>14130746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71421266</v>
      </c>
      <c r="D72" s="353">
        <f>+D70+D71</f>
        <v>51880199</v>
      </c>
      <c r="E72" s="353">
        <f>+E70+E71</f>
        <v>78513898</v>
      </c>
    </row>
    <row r="73" spans="1:5" ht="24" customHeight="1" x14ac:dyDescent="0.2">
      <c r="A73" s="339">
        <v>8</v>
      </c>
      <c r="B73" s="340" t="s">
        <v>54</v>
      </c>
      <c r="C73" s="341">
        <f>+C40</f>
        <v>41294243</v>
      </c>
      <c r="D73" s="341">
        <f>+D40</f>
        <v>37525087</v>
      </c>
      <c r="E73" s="341">
        <f>+E40</f>
        <v>32963193</v>
      </c>
    </row>
    <row r="74" spans="1:5" ht="24" customHeight="1" x14ac:dyDescent="0.2">
      <c r="A74" s="339">
        <v>9</v>
      </c>
      <c r="B74" s="340" t="s">
        <v>58</v>
      </c>
      <c r="C74" s="353">
        <v>68199710</v>
      </c>
      <c r="D74" s="353">
        <v>68372572</v>
      </c>
      <c r="E74" s="353">
        <v>67866215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109493953</v>
      </c>
      <c r="D75" s="341">
        <f>+D73+D74</f>
        <v>105897659</v>
      </c>
      <c r="E75" s="341">
        <f>+E73+E74</f>
        <v>100829408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16.046899064274513</v>
      </c>
      <c r="D77" s="359">
        <f>IF(D80=0,0,(D78/D80)*100)</f>
        <v>15.62541860183255</v>
      </c>
      <c r="E77" s="359">
        <f>IF(E80=0,0,(E78/E80)*100)</f>
        <v>13.92860237378869</v>
      </c>
    </row>
    <row r="78" spans="1:5" ht="24" customHeight="1" x14ac:dyDescent="0.2">
      <c r="A78" s="339">
        <v>12</v>
      </c>
      <c r="B78" s="340" t="s">
        <v>58</v>
      </c>
      <c r="C78" s="341">
        <f>+C74</f>
        <v>68199710</v>
      </c>
      <c r="D78" s="341">
        <f>+D74</f>
        <v>68372572</v>
      </c>
      <c r="E78" s="341">
        <f>+E74</f>
        <v>67866215</v>
      </c>
    </row>
    <row r="79" spans="1:5" ht="24" customHeight="1" x14ac:dyDescent="0.2">
      <c r="A79" s="339">
        <v>13</v>
      </c>
      <c r="B79" s="340" t="s">
        <v>67</v>
      </c>
      <c r="C79" s="341">
        <f>+C32</f>
        <v>356802714</v>
      </c>
      <c r="D79" s="341">
        <f>+D32</f>
        <v>369200166</v>
      </c>
      <c r="E79" s="341">
        <f>+E32</f>
        <v>419377323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425002424</v>
      </c>
      <c r="D80" s="341">
        <f>+D78+D79</f>
        <v>437572738</v>
      </c>
      <c r="E80" s="341">
        <f>+E78+E79</f>
        <v>487243538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1" orientation="portrait" horizontalDpi="1200" verticalDpi="1200" r:id="rId1"/>
  <headerFooter>
    <oddHeader>_x000D_
                &amp;L&amp;8OFFICE OF HEALTH CARE ACCESS&amp;C&amp;8TWELVE MONTHS ACTUAL FILING&amp;R&amp;8BACKUS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32922</v>
      </c>
      <c r="D11" s="376">
        <v>7943</v>
      </c>
      <c r="E11" s="376">
        <v>7937</v>
      </c>
      <c r="F11" s="377">
        <v>138</v>
      </c>
      <c r="G11" s="377">
        <v>166</v>
      </c>
      <c r="H11" s="378">
        <f>IF(F11=0,0,$C11/(F11*365))</f>
        <v>0.65360333531864201</v>
      </c>
      <c r="I11" s="378">
        <f>IF(G11=0,0,$C11/(G11*365))</f>
        <v>0.54335698960224454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3140</v>
      </c>
      <c r="D13" s="376">
        <v>186</v>
      </c>
      <c r="E13" s="376">
        <v>0</v>
      </c>
      <c r="F13" s="377">
        <v>12</v>
      </c>
      <c r="G13" s="377">
        <v>12</v>
      </c>
      <c r="H13" s="378">
        <f>IF(F13=0,0,$C13/(F13*365))</f>
        <v>0.71689497716894979</v>
      </c>
      <c r="I13" s="378">
        <f>IF(G13=0,0,$C13/(G13*365))</f>
        <v>0.71689497716894979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5806</v>
      </c>
      <c r="D16" s="376">
        <v>721</v>
      </c>
      <c r="E16" s="376">
        <v>722</v>
      </c>
      <c r="F16" s="377">
        <v>18</v>
      </c>
      <c r="G16" s="377">
        <v>20</v>
      </c>
      <c r="H16" s="378">
        <f t="shared" si="0"/>
        <v>0.88371385083713849</v>
      </c>
      <c r="I16" s="378">
        <f t="shared" si="0"/>
        <v>0.79534246575342471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5806</v>
      </c>
      <c r="D17" s="381">
        <f>SUM(D15:D16)</f>
        <v>721</v>
      </c>
      <c r="E17" s="381">
        <f>SUM(E15:E16)</f>
        <v>722</v>
      </c>
      <c r="F17" s="381">
        <f>SUM(F15:F16)</f>
        <v>18</v>
      </c>
      <c r="G17" s="381">
        <f>SUM(G15:G16)</f>
        <v>20</v>
      </c>
      <c r="H17" s="382">
        <f t="shared" si="0"/>
        <v>0.88371385083713849</v>
      </c>
      <c r="I17" s="382">
        <f t="shared" si="0"/>
        <v>0.79534246575342471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2362</v>
      </c>
      <c r="D21" s="376">
        <v>967</v>
      </c>
      <c r="E21" s="376">
        <v>962</v>
      </c>
      <c r="F21" s="377">
        <v>15</v>
      </c>
      <c r="G21" s="377">
        <v>15</v>
      </c>
      <c r="H21" s="378">
        <f>IF(F21=0,0,$C21/(F21*365))</f>
        <v>0.43141552511415526</v>
      </c>
      <c r="I21" s="378">
        <f>IF(G21=0,0,$C21/(G21*365))</f>
        <v>0.43141552511415526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2325</v>
      </c>
      <c r="D23" s="376">
        <v>976</v>
      </c>
      <c r="E23" s="376">
        <v>973</v>
      </c>
      <c r="F23" s="377">
        <v>18</v>
      </c>
      <c r="G23" s="377">
        <v>20</v>
      </c>
      <c r="H23" s="378">
        <f>IF(F23=0,0,$C23/(F23*365))</f>
        <v>0.35388127853881279</v>
      </c>
      <c r="I23" s="378">
        <f>IF(G23=0,0,$C23/(G23*365))</f>
        <v>0.3184931506849315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44230</v>
      </c>
      <c r="D31" s="384">
        <f>SUM(D10:D29)-D13-D17-D23</f>
        <v>9631</v>
      </c>
      <c r="E31" s="384">
        <f>SUM(E10:E29)-E17-E23</f>
        <v>9621</v>
      </c>
      <c r="F31" s="384">
        <f>SUM(F10:F29)-F17-F23</f>
        <v>183</v>
      </c>
      <c r="G31" s="384">
        <f>SUM(G10:G29)-G17-G23</f>
        <v>213</v>
      </c>
      <c r="H31" s="385">
        <f>IF(F31=0,0,$C31/(F31*365))</f>
        <v>0.66217531252339246</v>
      </c>
      <c r="I31" s="385">
        <f>IF(G31=0,0,$C31/(G31*365))</f>
        <v>0.568911183998971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46555</v>
      </c>
      <c r="D33" s="384">
        <f>SUM(D10:D29)-D13-D17</f>
        <v>10607</v>
      </c>
      <c r="E33" s="384">
        <f>SUM(E10:E29)-E17</f>
        <v>10594</v>
      </c>
      <c r="F33" s="384">
        <f>SUM(F10:F29)-F17</f>
        <v>201</v>
      </c>
      <c r="G33" s="384">
        <f>SUM(G10:G29)-G17</f>
        <v>233</v>
      </c>
      <c r="H33" s="385">
        <f>IF(F33=0,0,$C33/(F33*365))</f>
        <v>0.63456689156954948</v>
      </c>
      <c r="I33" s="385">
        <f>IF(G33=0,0,$C33/(G33*365))</f>
        <v>0.54741607384325941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46555</v>
      </c>
      <c r="D36" s="384">
        <f t="shared" si="1"/>
        <v>10607</v>
      </c>
      <c r="E36" s="384">
        <f t="shared" si="1"/>
        <v>10594</v>
      </c>
      <c r="F36" s="384">
        <f t="shared" si="1"/>
        <v>201</v>
      </c>
      <c r="G36" s="384">
        <f t="shared" si="1"/>
        <v>233</v>
      </c>
      <c r="H36" s="387">
        <f t="shared" si="1"/>
        <v>0.63456689156954948</v>
      </c>
      <c r="I36" s="387">
        <f t="shared" si="1"/>
        <v>0.54741607384325941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47919</v>
      </c>
      <c r="D37" s="384">
        <v>10803</v>
      </c>
      <c r="E37" s="384">
        <v>10781</v>
      </c>
      <c r="F37" s="386">
        <v>201</v>
      </c>
      <c r="G37" s="386">
        <v>233</v>
      </c>
      <c r="H37" s="385">
        <f>IF(F37=0,0,$C37/(F37*365))</f>
        <v>0.65315886321815575</v>
      </c>
      <c r="I37" s="385">
        <f>IF(G37=0,0,$C37/(G37*365))</f>
        <v>0.56345464166029746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-1364</v>
      </c>
      <c r="D38" s="384">
        <f t="shared" si="2"/>
        <v>-196</v>
      </c>
      <c r="E38" s="384">
        <f t="shared" si="2"/>
        <v>-187</v>
      </c>
      <c r="F38" s="384">
        <f t="shared" si="2"/>
        <v>0</v>
      </c>
      <c r="G38" s="384">
        <f t="shared" si="2"/>
        <v>0</v>
      </c>
      <c r="H38" s="387">
        <f t="shared" si="2"/>
        <v>-1.8591971648606265E-2</v>
      </c>
      <c r="I38" s="387">
        <f t="shared" si="2"/>
        <v>-1.6038567817038052E-2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-2.8464700849349944E-2</v>
      </c>
      <c r="D40" s="389">
        <f t="shared" si="3"/>
        <v>-1.8143108395815979E-2</v>
      </c>
      <c r="E40" s="389">
        <f t="shared" si="3"/>
        <v>-1.7345329746776737E-2</v>
      </c>
      <c r="F40" s="389">
        <f t="shared" si="3"/>
        <v>0</v>
      </c>
      <c r="G40" s="389">
        <f t="shared" si="3"/>
        <v>0</v>
      </c>
      <c r="H40" s="389">
        <f t="shared" si="3"/>
        <v>-2.8464700849349919E-2</v>
      </c>
      <c r="I40" s="389">
        <f t="shared" si="3"/>
        <v>-2.8464700849349968E-2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233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0" orientation="landscape" horizontalDpi="1200" verticalDpi="1200" r:id="rId1"/>
  <headerFooter>
    <oddHeader>&amp;LOFFICE OF HEALTH CARE ACCESS&amp;CTWELVE MONTHS ACTUAL FILING&amp;RWILLIAM W. BACKUS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13"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8127</v>
      </c>
      <c r="D12" s="409">
        <v>8094</v>
      </c>
      <c r="E12" s="409">
        <f>+D12-C12</f>
        <v>-33</v>
      </c>
      <c r="F12" s="410">
        <f>IF(C12=0,0,+E12/C12)</f>
        <v>-4.0605389442598741E-3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14982</v>
      </c>
      <c r="D13" s="409">
        <v>15663</v>
      </c>
      <c r="E13" s="409">
        <f>+D13-C13</f>
        <v>681</v>
      </c>
      <c r="F13" s="410">
        <f>IF(C13=0,0,+E13/C13)</f>
        <v>4.5454545454545456E-2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16157</v>
      </c>
      <c r="D14" s="409">
        <v>18406</v>
      </c>
      <c r="E14" s="409">
        <f>+D14-C14</f>
        <v>2249</v>
      </c>
      <c r="F14" s="410">
        <f>IF(C14=0,0,+E14/C14)</f>
        <v>0.13919663303831156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39266</v>
      </c>
      <c r="D16" s="401">
        <f>SUM(D12:D15)</f>
        <v>42163</v>
      </c>
      <c r="E16" s="401">
        <f>+D16-C16</f>
        <v>2897</v>
      </c>
      <c r="F16" s="402">
        <f>IF(C16=0,0,+E16/C16)</f>
        <v>7.3778841746039825E-2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933</v>
      </c>
      <c r="D19" s="409">
        <v>831</v>
      </c>
      <c r="E19" s="409">
        <f>+D19-C19</f>
        <v>-102</v>
      </c>
      <c r="F19" s="410">
        <f>IF(C19=0,0,+E19/C19)</f>
        <v>-0.10932475884244373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9830</v>
      </c>
      <c r="D20" s="409">
        <v>10106</v>
      </c>
      <c r="E20" s="409">
        <f>+D20-C20</f>
        <v>276</v>
      </c>
      <c r="F20" s="410">
        <f>IF(C20=0,0,+E20/C20)</f>
        <v>2.8077314343845371E-2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504</v>
      </c>
      <c r="D21" s="409">
        <v>611</v>
      </c>
      <c r="E21" s="409">
        <f>+D21-C21</f>
        <v>107</v>
      </c>
      <c r="F21" s="410">
        <f>IF(C21=0,0,+E21/C21)</f>
        <v>0.2123015873015873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11267</v>
      </c>
      <c r="D23" s="401">
        <f>SUM(D19:D22)</f>
        <v>11548</v>
      </c>
      <c r="E23" s="401">
        <f>+D23-C23</f>
        <v>281</v>
      </c>
      <c r="F23" s="402">
        <f>IF(C23=0,0,+E23/C23)</f>
        <v>2.4940090529865979E-2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6</v>
      </c>
      <c r="D33" s="409">
        <v>4</v>
      </c>
      <c r="E33" s="409">
        <f>+D33-C33</f>
        <v>-2</v>
      </c>
      <c r="F33" s="410">
        <f>IF(C33=0,0,+E33/C33)</f>
        <v>-0.33333333333333331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638</v>
      </c>
      <c r="D34" s="409">
        <v>624</v>
      </c>
      <c r="E34" s="409">
        <f>+D34-C34</f>
        <v>-14</v>
      </c>
      <c r="F34" s="410">
        <f>IF(C34=0,0,+E34/C34)</f>
        <v>-2.1943573667711599E-2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644</v>
      </c>
      <c r="D37" s="401">
        <f>SUM(D33:D36)</f>
        <v>628</v>
      </c>
      <c r="E37" s="401">
        <f>+D37-C37</f>
        <v>-16</v>
      </c>
      <c r="F37" s="402">
        <f>IF(C37=0,0,+E37/C37)</f>
        <v>-2.4844720496894408E-2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383</v>
      </c>
      <c r="D43" s="409">
        <v>300</v>
      </c>
      <c r="E43" s="409">
        <f>+D43-C43</f>
        <v>-83</v>
      </c>
      <c r="F43" s="410">
        <f>IF(C43=0,0,+E43/C43)</f>
        <v>-0.21671018276762402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11497</v>
      </c>
      <c r="D44" s="409">
        <v>9920</v>
      </c>
      <c r="E44" s="409">
        <f>+D44-C44</f>
        <v>-1577</v>
      </c>
      <c r="F44" s="410">
        <f>IF(C44=0,0,+E44/C44)</f>
        <v>-0.13716621727407149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11880</v>
      </c>
      <c r="D45" s="401">
        <f>SUM(D43:D44)</f>
        <v>10220</v>
      </c>
      <c r="E45" s="401">
        <f>+D45-C45</f>
        <v>-1660</v>
      </c>
      <c r="F45" s="402">
        <f>IF(C45=0,0,+E45/C45)</f>
        <v>-0.13973063973063973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94</v>
      </c>
      <c r="D48" s="409">
        <v>65</v>
      </c>
      <c r="E48" s="409">
        <f>+D48-C48</f>
        <v>-29</v>
      </c>
      <c r="F48" s="410">
        <f>IF(C48=0,0,+E48/C48)</f>
        <v>-0.30851063829787234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143</v>
      </c>
      <c r="D49" s="409">
        <v>156</v>
      </c>
      <c r="E49" s="409">
        <f>+D49-C49</f>
        <v>13</v>
      </c>
      <c r="F49" s="410">
        <f>IF(C49=0,0,+E49/C49)</f>
        <v>9.0909090909090912E-2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237</v>
      </c>
      <c r="D50" s="401">
        <f>SUM(D48:D49)</f>
        <v>221</v>
      </c>
      <c r="E50" s="401">
        <f>+D50-C50</f>
        <v>-16</v>
      </c>
      <c r="F50" s="402">
        <f>IF(C50=0,0,+E50/C50)</f>
        <v>-6.7510548523206745E-2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30</v>
      </c>
      <c r="D58" s="409">
        <v>26</v>
      </c>
      <c r="E58" s="409">
        <f>+D58-C58</f>
        <v>-4</v>
      </c>
      <c r="F58" s="410">
        <f>IF(C58=0,0,+E58/C58)</f>
        <v>-0.13333333333333333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78</v>
      </c>
      <c r="D59" s="409">
        <v>105</v>
      </c>
      <c r="E59" s="409">
        <f>+D59-C59</f>
        <v>27</v>
      </c>
      <c r="F59" s="410">
        <f>IF(C59=0,0,+E59/C59)</f>
        <v>0.34615384615384615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108</v>
      </c>
      <c r="D60" s="401">
        <f>SUM(D58:D59)</f>
        <v>131</v>
      </c>
      <c r="E60" s="401">
        <f>SUM(E58:E59)</f>
        <v>23</v>
      </c>
      <c r="F60" s="402">
        <f>IF(C60=0,0,+E60/C60)</f>
        <v>0.21296296296296297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2365</v>
      </c>
      <c r="D63" s="409">
        <v>2214</v>
      </c>
      <c r="E63" s="409">
        <f>+D63-C63</f>
        <v>-151</v>
      </c>
      <c r="F63" s="410">
        <f>IF(C63=0,0,+E63/C63)</f>
        <v>-6.3847780126849898E-2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6427</v>
      </c>
      <c r="D64" s="409">
        <v>6334</v>
      </c>
      <c r="E64" s="409">
        <f>+D64-C64</f>
        <v>-93</v>
      </c>
      <c r="F64" s="410">
        <f>IF(C64=0,0,+E64/C64)</f>
        <v>-1.4470203827602304E-2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8792</v>
      </c>
      <c r="D65" s="401">
        <f>SUM(D63:D64)</f>
        <v>8548</v>
      </c>
      <c r="E65" s="401">
        <f>+D65-C65</f>
        <v>-244</v>
      </c>
      <c r="F65" s="402">
        <f>IF(C65=0,0,+E65/C65)</f>
        <v>-2.7752502274795268E-2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525</v>
      </c>
      <c r="D68" s="409">
        <v>561</v>
      </c>
      <c r="E68" s="409">
        <f>+D68-C68</f>
        <v>36</v>
      </c>
      <c r="F68" s="410">
        <f>IF(C68=0,0,+E68/C68)</f>
        <v>6.8571428571428575E-2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2514</v>
      </c>
      <c r="D69" s="409">
        <v>2925</v>
      </c>
      <c r="E69" s="409">
        <f>+D69-C69</f>
        <v>411</v>
      </c>
      <c r="F69" s="412">
        <f>IF(C69=0,0,+E69/C69)</f>
        <v>0.16348448687350836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3039</v>
      </c>
      <c r="D70" s="401">
        <f>SUM(D68:D69)</f>
        <v>3486</v>
      </c>
      <c r="E70" s="401">
        <f>+D70-C70</f>
        <v>447</v>
      </c>
      <c r="F70" s="402">
        <f>IF(C70=0,0,+E70/C70)</f>
        <v>0.14708785784797632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6553</v>
      </c>
      <c r="D73" s="376">
        <v>6342</v>
      </c>
      <c r="E73" s="409">
        <f>+D73-C73</f>
        <v>-211</v>
      </c>
      <c r="F73" s="410">
        <f>IF(C73=0,0,+E73/C73)</f>
        <v>-3.2198992827712498E-2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73377</v>
      </c>
      <c r="D74" s="376">
        <v>71857</v>
      </c>
      <c r="E74" s="409">
        <f>+D74-C74</f>
        <v>-1520</v>
      </c>
      <c r="F74" s="410">
        <f>IF(C74=0,0,+E74/C74)</f>
        <v>-2.0714937923327473E-2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79930</v>
      </c>
      <c r="D75" s="401">
        <f>SUM(D73:D74)</f>
        <v>78199</v>
      </c>
      <c r="E75" s="401">
        <f>SUM(E73:E74)</f>
        <v>-1731</v>
      </c>
      <c r="F75" s="402">
        <f>IF(C75=0,0,+E75/C75)</f>
        <v>-2.1656449393219066E-2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15373</v>
      </c>
      <c r="D81" s="376">
        <v>13829</v>
      </c>
      <c r="E81" s="409">
        <f t="shared" si="0"/>
        <v>-1544</v>
      </c>
      <c r="F81" s="410">
        <f t="shared" si="1"/>
        <v>-0.10043582905093346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1877</v>
      </c>
      <c r="D89" s="376">
        <v>1592</v>
      </c>
      <c r="E89" s="409">
        <f t="shared" si="0"/>
        <v>-285</v>
      </c>
      <c r="F89" s="410">
        <f t="shared" si="1"/>
        <v>-0.15183803942461374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45278</v>
      </c>
      <c r="D91" s="376">
        <v>45419</v>
      </c>
      <c r="E91" s="409">
        <f t="shared" si="0"/>
        <v>141</v>
      </c>
      <c r="F91" s="410">
        <f t="shared" si="1"/>
        <v>3.1140951455452979E-3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62528</v>
      </c>
      <c r="D92" s="381">
        <f>SUM(D79:D91)</f>
        <v>60840</v>
      </c>
      <c r="E92" s="401">
        <f t="shared" si="0"/>
        <v>-1688</v>
      </c>
      <c r="F92" s="402">
        <f t="shared" si="1"/>
        <v>-2.6995905834186283E-2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25602</v>
      </c>
      <c r="D95" s="414">
        <v>26643</v>
      </c>
      <c r="E95" s="415">
        <f t="shared" ref="E95:E100" si="2">+D95-C95</f>
        <v>1041</v>
      </c>
      <c r="F95" s="412">
        <f t="shared" ref="F95:F100" si="3">IF(C95=0,0,+E95/C95)</f>
        <v>4.0660885868291537E-2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5133</v>
      </c>
      <c r="D96" s="414">
        <v>5466</v>
      </c>
      <c r="E96" s="409">
        <f t="shared" si="2"/>
        <v>333</v>
      </c>
      <c r="F96" s="410">
        <f t="shared" si="3"/>
        <v>6.4874342489772058E-2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2871</v>
      </c>
      <c r="D97" s="414">
        <v>2822</v>
      </c>
      <c r="E97" s="409">
        <f t="shared" si="2"/>
        <v>-49</v>
      </c>
      <c r="F97" s="410">
        <f t="shared" si="3"/>
        <v>-1.7067223963775687E-2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198902</v>
      </c>
      <c r="D99" s="414">
        <v>212516</v>
      </c>
      <c r="E99" s="409">
        <f t="shared" si="2"/>
        <v>13614</v>
      </c>
      <c r="F99" s="410">
        <f t="shared" si="3"/>
        <v>6.8445767262269863E-2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232508</v>
      </c>
      <c r="D100" s="381">
        <f>SUM(D95:D99)</f>
        <v>247447</v>
      </c>
      <c r="E100" s="401">
        <f t="shared" si="2"/>
        <v>14939</v>
      </c>
      <c r="F100" s="402">
        <f t="shared" si="3"/>
        <v>6.4251552634748049E-2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398</v>
      </c>
      <c r="D104" s="416">
        <v>390.7</v>
      </c>
      <c r="E104" s="417">
        <f>+D104-C104</f>
        <v>-7.3000000000000114</v>
      </c>
      <c r="F104" s="410">
        <f>IF(C104=0,0,+E104/C104)</f>
        <v>-1.8341708542713598E-2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44.3</v>
      </c>
      <c r="D105" s="416">
        <v>42.6</v>
      </c>
      <c r="E105" s="417">
        <f>+D105-C105</f>
        <v>-1.6999999999999957</v>
      </c>
      <c r="F105" s="410">
        <f>IF(C105=0,0,+E105/C105)</f>
        <v>-3.8374717832957018E-2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981.2</v>
      </c>
      <c r="D106" s="416">
        <v>973.6</v>
      </c>
      <c r="E106" s="417">
        <f>+D106-C106</f>
        <v>-7.6000000000000227</v>
      </c>
      <c r="F106" s="410">
        <f>IF(C106=0,0,+E106/C106)</f>
        <v>-7.745617611088486E-3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1423.5</v>
      </c>
      <c r="D107" s="418">
        <f>SUM(D104:D106)</f>
        <v>1406.9</v>
      </c>
      <c r="E107" s="418">
        <f>+D107-C107</f>
        <v>-16.599999999999909</v>
      </c>
      <c r="F107" s="402">
        <f>IF(C107=0,0,+E107/C107)</f>
        <v>-1.1661397962767762E-2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FILING&amp;RWILLIAM W. BACKUS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Normal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6427</v>
      </c>
      <c r="D12" s="409">
        <v>6334</v>
      </c>
      <c r="E12" s="409">
        <f>+D12-C12</f>
        <v>-93</v>
      </c>
      <c r="F12" s="410">
        <f>IF(C12=0,0,+E12/C12)</f>
        <v>-1.4470203827602304E-2</v>
      </c>
    </row>
    <row r="13" spans="1:6" ht="15.75" customHeight="1" x14ac:dyDescent="0.25">
      <c r="A13" s="374"/>
      <c r="B13" s="399" t="s">
        <v>622</v>
      </c>
      <c r="C13" s="401">
        <f>SUM(C11:C12)</f>
        <v>6427</v>
      </c>
      <c r="D13" s="401">
        <f>SUM(D11:D12)</f>
        <v>6334</v>
      </c>
      <c r="E13" s="401">
        <f>+D13-C13</f>
        <v>-93</v>
      </c>
      <c r="F13" s="402">
        <f>IF(C13=0,0,+E13/C13)</f>
        <v>-1.4470203827602304E-2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2514</v>
      </c>
      <c r="D16" s="409">
        <v>2925</v>
      </c>
      <c r="E16" s="409">
        <f>+D16-C16</f>
        <v>411</v>
      </c>
      <c r="F16" s="410">
        <f>IF(C16=0,0,+E16/C16)</f>
        <v>0.16348448687350836</v>
      </c>
    </row>
    <row r="17" spans="1:6" ht="15.75" customHeight="1" x14ac:dyDescent="0.25">
      <c r="A17" s="374"/>
      <c r="B17" s="399" t="s">
        <v>623</v>
      </c>
      <c r="C17" s="401">
        <f>SUM(C15:C16)</f>
        <v>2514</v>
      </c>
      <c r="D17" s="401">
        <f>SUM(D15:D16)</f>
        <v>2925</v>
      </c>
      <c r="E17" s="401">
        <f>+D17-C17</f>
        <v>411</v>
      </c>
      <c r="F17" s="402">
        <f>IF(C17=0,0,+E17/C17)</f>
        <v>0.16348448687350836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51181</v>
      </c>
      <c r="D20" s="409">
        <v>50018</v>
      </c>
      <c r="E20" s="409">
        <f>+D20-C20</f>
        <v>-1163</v>
      </c>
      <c r="F20" s="410">
        <f>IF(C20=0,0,+E20/C20)</f>
        <v>-2.2723276215783201E-2</v>
      </c>
    </row>
    <row r="21" spans="1:6" ht="15.75" customHeight="1" x14ac:dyDescent="0.2">
      <c r="A21" s="374">
        <v>2</v>
      </c>
      <c r="B21" s="408" t="s">
        <v>625</v>
      </c>
      <c r="C21" s="409">
        <v>22196</v>
      </c>
      <c r="D21" s="409">
        <v>21839</v>
      </c>
      <c r="E21" s="409">
        <f>+D21-C21</f>
        <v>-357</v>
      </c>
      <c r="F21" s="410">
        <f>IF(C21=0,0,+E21/C21)</f>
        <v>-1.6083979095332494E-2</v>
      </c>
    </row>
    <row r="22" spans="1:6" ht="15.75" customHeight="1" x14ac:dyDescent="0.25">
      <c r="A22" s="374"/>
      <c r="B22" s="399" t="s">
        <v>626</v>
      </c>
      <c r="C22" s="401">
        <f>SUM(C19:C21)</f>
        <v>73377</v>
      </c>
      <c r="D22" s="401">
        <f>SUM(D19:D21)</f>
        <v>71857</v>
      </c>
      <c r="E22" s="401">
        <f>+D22-C22</f>
        <v>-1520</v>
      </c>
      <c r="F22" s="402">
        <f>IF(C22=0,0,+E22/C22)</f>
        <v>-2.0714937923327473E-2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627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628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629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FILING&amp;RWILLIAM W. BACKUS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0" zoomScale="85" zoomScaleNormal="85" zoomScaleSheetLayoutView="80" workbookViewId="0">
      <selection activeCell="J290" sqref="J290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134881347</v>
      </c>
      <c r="D15" s="448">
        <v>129978203</v>
      </c>
      <c r="E15" s="448">
        <f t="shared" ref="E15:E24" si="0">D15-C15</f>
        <v>-4903144</v>
      </c>
      <c r="F15" s="449">
        <f t="shared" ref="F15:F24" si="1">IF(C15=0,0,E15/C15)</f>
        <v>-3.6351534953161464E-2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59500042</v>
      </c>
      <c r="D16" s="448">
        <v>57409048</v>
      </c>
      <c r="E16" s="448">
        <f t="shared" si="0"/>
        <v>-2090994</v>
      </c>
      <c r="F16" s="449">
        <f t="shared" si="1"/>
        <v>-3.5142731495887009E-2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0.44112876482468699</v>
      </c>
      <c r="D17" s="453">
        <f>IF(LN_IA1=0,0,LN_IA2/LN_IA1)</f>
        <v>0.44168211803943774</v>
      </c>
      <c r="E17" s="454">
        <f t="shared" si="0"/>
        <v>5.5335321475075139E-4</v>
      </c>
      <c r="F17" s="449">
        <f t="shared" si="1"/>
        <v>1.2544029292006487E-3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5025</v>
      </c>
      <c r="D18" s="456">
        <v>4773</v>
      </c>
      <c r="E18" s="456">
        <f t="shared" si="0"/>
        <v>-252</v>
      </c>
      <c r="F18" s="449">
        <f t="shared" si="1"/>
        <v>-5.0149253731343282E-2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1.5431999999999999</v>
      </c>
      <c r="D19" s="459">
        <v>1.5696000000000001</v>
      </c>
      <c r="E19" s="460">
        <f t="shared" si="0"/>
        <v>2.6400000000000201E-2</v>
      </c>
      <c r="F19" s="449">
        <f t="shared" si="1"/>
        <v>1.7107309486780846E-2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7754.58</v>
      </c>
      <c r="D20" s="463">
        <f>LN_IA4*LN_IA5</f>
        <v>7491.7008000000005</v>
      </c>
      <c r="E20" s="463">
        <f t="shared" si="0"/>
        <v>-262.8791999999994</v>
      </c>
      <c r="F20" s="449">
        <f t="shared" si="1"/>
        <v>-3.389986304867567E-2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7672.8903435131242</v>
      </c>
      <c r="D21" s="465">
        <f>IF(LN_IA6=0,0,LN_IA2/LN_IA6)</f>
        <v>7663.0193239964947</v>
      </c>
      <c r="E21" s="465">
        <f t="shared" si="0"/>
        <v>-9.8710195166295307</v>
      </c>
      <c r="F21" s="449">
        <f t="shared" si="1"/>
        <v>-1.2864799410270168E-3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26068</v>
      </c>
      <c r="D22" s="456">
        <v>24390</v>
      </c>
      <c r="E22" s="456">
        <f t="shared" si="0"/>
        <v>-1678</v>
      </c>
      <c r="F22" s="449">
        <f t="shared" si="1"/>
        <v>-6.4370108945833976E-2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2282.4935553168634</v>
      </c>
      <c r="D23" s="465">
        <f>IF(LN_IA8=0,0,LN_IA2/LN_IA8)</f>
        <v>2353.7945059450594</v>
      </c>
      <c r="E23" s="465">
        <f t="shared" si="0"/>
        <v>71.300950628196006</v>
      </c>
      <c r="F23" s="449">
        <f t="shared" si="1"/>
        <v>3.1238182671800695E-2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5.1876616915422886</v>
      </c>
      <c r="D24" s="466">
        <f>IF(LN_IA4=0,0,LN_IA8/LN_IA4)</f>
        <v>5.1099937146448777</v>
      </c>
      <c r="E24" s="466">
        <f t="shared" si="0"/>
        <v>-7.7667976897410895E-2</v>
      </c>
      <c r="F24" s="449">
        <f t="shared" si="1"/>
        <v>-1.4971673465915672E-2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169816682</v>
      </c>
      <c r="D27" s="448">
        <v>193320905</v>
      </c>
      <c r="E27" s="448">
        <f t="shared" ref="E27:E32" si="2">D27-C27</f>
        <v>23504223</v>
      </c>
      <c r="F27" s="449">
        <f t="shared" ref="F27:F32" si="3">IF(C27=0,0,E27/C27)</f>
        <v>0.13840938783623155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38508936</v>
      </c>
      <c r="D28" s="448">
        <v>42936478</v>
      </c>
      <c r="E28" s="448">
        <f t="shared" si="2"/>
        <v>4427542</v>
      </c>
      <c r="F28" s="449">
        <f t="shared" si="3"/>
        <v>0.11497440490176099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0.22676768587434773</v>
      </c>
      <c r="D29" s="453">
        <f>IF(LN_IA11=0,0,LN_IA12/LN_IA11)</f>
        <v>0.2220995085865132</v>
      </c>
      <c r="E29" s="454">
        <f t="shared" si="2"/>
        <v>-4.6681772878345296E-3</v>
      </c>
      <c r="F29" s="449">
        <f t="shared" si="3"/>
        <v>-2.0585725297832657E-2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1.2590079041841122</v>
      </c>
      <c r="D30" s="453">
        <f>IF(LN_IA1=0,0,LN_IA11/LN_IA1)</f>
        <v>1.4873332646397643</v>
      </c>
      <c r="E30" s="454">
        <f t="shared" si="2"/>
        <v>0.2283253604556521</v>
      </c>
      <c r="F30" s="449">
        <f t="shared" si="3"/>
        <v>0.18135339714456847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6326.5147185251644</v>
      </c>
      <c r="D31" s="463">
        <f>LN_IA14*LN_IA4</f>
        <v>7099.0416721255951</v>
      </c>
      <c r="E31" s="463">
        <f t="shared" si="2"/>
        <v>772.52695360043072</v>
      </c>
      <c r="F31" s="449">
        <f t="shared" si="3"/>
        <v>0.12210940588478106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6086.9116272248548</v>
      </c>
      <c r="D32" s="465">
        <f>IF(LN_IA15=0,0,LN_IA12/LN_IA15)</f>
        <v>6048.2076290086006</v>
      </c>
      <c r="E32" s="465">
        <f t="shared" si="2"/>
        <v>-38.703998216254149</v>
      </c>
      <c r="F32" s="449">
        <f t="shared" si="3"/>
        <v>-6.3585608904100487E-3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304698029</v>
      </c>
      <c r="D35" s="448">
        <f>LN_IA1+LN_IA11</f>
        <v>323299108</v>
      </c>
      <c r="E35" s="448">
        <f>D35-C35</f>
        <v>18601079</v>
      </c>
      <c r="F35" s="449">
        <f>IF(C35=0,0,E35/C35)</f>
        <v>6.1047585575291004E-2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98008978</v>
      </c>
      <c r="D36" s="448">
        <f>LN_IA2+LN_IA12</f>
        <v>100345526</v>
      </c>
      <c r="E36" s="448">
        <f>D36-C36</f>
        <v>2336548</v>
      </c>
      <c r="F36" s="449">
        <f>IF(C36=0,0,E36/C36)</f>
        <v>2.3840142481640816E-2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206689051</v>
      </c>
      <c r="D37" s="448">
        <f>LN_IA17-LN_IA18</f>
        <v>222953582</v>
      </c>
      <c r="E37" s="448">
        <f>D37-C37</f>
        <v>16264531</v>
      </c>
      <c r="F37" s="449">
        <f>IF(C37=0,0,E37/C37)</f>
        <v>7.8690820444088261E-2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64371488</v>
      </c>
      <c r="D42" s="448">
        <v>64880785</v>
      </c>
      <c r="E42" s="448">
        <f t="shared" ref="E42:E53" si="4">D42-C42</f>
        <v>509297</v>
      </c>
      <c r="F42" s="449">
        <f t="shared" ref="F42:F53" si="5">IF(C42=0,0,E42/C42)</f>
        <v>7.9118413419307625E-3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47994375</v>
      </c>
      <c r="D43" s="448">
        <v>50251314</v>
      </c>
      <c r="E43" s="448">
        <f t="shared" si="4"/>
        <v>2256939</v>
      </c>
      <c r="F43" s="449">
        <f t="shared" si="5"/>
        <v>4.7025073250771578E-2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0.745584364928771</v>
      </c>
      <c r="D44" s="453">
        <f>IF(LN_IB1=0,0,LN_IB2/LN_IB1)</f>
        <v>0.7745176634345593</v>
      </c>
      <c r="E44" s="454">
        <f t="shared" si="4"/>
        <v>2.8933298505788296E-2</v>
      </c>
      <c r="F44" s="449">
        <f t="shared" si="5"/>
        <v>3.8806203384579317E-2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2940</v>
      </c>
      <c r="D45" s="456">
        <v>2967</v>
      </c>
      <c r="E45" s="456">
        <f t="shared" si="4"/>
        <v>27</v>
      </c>
      <c r="F45" s="449">
        <f t="shared" si="5"/>
        <v>9.1836734693877559E-3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1.3261000000000001</v>
      </c>
      <c r="D46" s="459">
        <v>1.3725000000000001</v>
      </c>
      <c r="E46" s="460">
        <f t="shared" si="4"/>
        <v>4.6399999999999997E-2</v>
      </c>
      <c r="F46" s="449">
        <f t="shared" si="5"/>
        <v>3.4989819772264528E-2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3898.7340000000004</v>
      </c>
      <c r="D47" s="463">
        <f>LN_IB4*LN_IB5</f>
        <v>4072.2075</v>
      </c>
      <c r="E47" s="463">
        <f t="shared" si="4"/>
        <v>173.4734999999996</v>
      </c>
      <c r="F47" s="449">
        <f t="shared" si="5"/>
        <v>4.4494828321193391E-2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12310.246095270924</v>
      </c>
      <c r="D48" s="465">
        <f>IF(LN_IB6=0,0,LN_IB2/LN_IB6)</f>
        <v>12340.067150310981</v>
      </c>
      <c r="E48" s="465">
        <f t="shared" si="4"/>
        <v>29.821055040056308</v>
      </c>
      <c r="F48" s="449">
        <f t="shared" si="5"/>
        <v>2.4224580734833801E-3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-4637.3557517578001</v>
      </c>
      <c r="D49" s="465">
        <f>LN_IA7-LN_IB7</f>
        <v>-4677.047826314486</v>
      </c>
      <c r="E49" s="465">
        <f t="shared" si="4"/>
        <v>-39.692074556685839</v>
      </c>
      <c r="F49" s="449">
        <f t="shared" si="5"/>
        <v>8.5592041416362053E-3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-18079816.539473698</v>
      </c>
      <c r="D50" s="479">
        <f>LN_IB8*LN_IB6</f>
        <v>-19045909.236176547</v>
      </c>
      <c r="E50" s="479">
        <f t="shared" si="4"/>
        <v>-966092.69670284912</v>
      </c>
      <c r="F50" s="449">
        <f t="shared" si="5"/>
        <v>5.3434872781677682E-2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10893</v>
      </c>
      <c r="D51" s="456">
        <v>10571</v>
      </c>
      <c r="E51" s="456">
        <f t="shared" si="4"/>
        <v>-322</v>
      </c>
      <c r="F51" s="449">
        <f t="shared" si="5"/>
        <v>-2.9560268062058203E-2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4405.9832002203248</v>
      </c>
      <c r="D52" s="465">
        <f>IF(LN_IB10=0,0,LN_IB2/LN_IB10)</f>
        <v>4753.695393056475</v>
      </c>
      <c r="E52" s="465">
        <f t="shared" si="4"/>
        <v>347.71219283615028</v>
      </c>
      <c r="F52" s="449">
        <f t="shared" si="5"/>
        <v>7.8918183986439766E-2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3.7051020408163264</v>
      </c>
      <c r="D53" s="466">
        <f>IF(LN_IB4=0,0,LN_IB10/LN_IB4)</f>
        <v>3.5628581058308053</v>
      </c>
      <c r="E53" s="466">
        <f t="shared" si="4"/>
        <v>-0.14224393498552113</v>
      </c>
      <c r="F53" s="449">
        <f t="shared" si="5"/>
        <v>-3.8391367746023329E-2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194848471</v>
      </c>
      <c r="D56" s="448">
        <v>211666494</v>
      </c>
      <c r="E56" s="448">
        <f t="shared" ref="E56:E63" si="6">D56-C56</f>
        <v>16818023</v>
      </c>
      <c r="F56" s="449">
        <f t="shared" ref="F56:F63" si="7">IF(C56=0,0,E56/C56)</f>
        <v>8.6313343459595335E-2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113215967</v>
      </c>
      <c r="D57" s="448">
        <v>119847812</v>
      </c>
      <c r="E57" s="448">
        <f t="shared" si="6"/>
        <v>6631845</v>
      </c>
      <c r="F57" s="449">
        <f t="shared" si="7"/>
        <v>5.8576940830262929E-2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0.58104621719099869</v>
      </c>
      <c r="D58" s="453">
        <f>IF(LN_IB13=0,0,LN_IB14/LN_IB13)</f>
        <v>0.56621059731825107</v>
      </c>
      <c r="E58" s="454">
        <f t="shared" si="6"/>
        <v>-1.4835619872747619E-2</v>
      </c>
      <c r="F58" s="449">
        <f t="shared" si="7"/>
        <v>-2.5532598670840199E-2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3.0269375006524628</v>
      </c>
      <c r="D59" s="453">
        <f>IF(LN_IB1=0,0,LN_IB13/LN_IB1)</f>
        <v>3.2623910761868866</v>
      </c>
      <c r="E59" s="454">
        <f t="shared" si="6"/>
        <v>0.23545357553442381</v>
      </c>
      <c r="F59" s="449">
        <f t="shared" si="7"/>
        <v>7.7786071064787854E-2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8899.1962519182398</v>
      </c>
      <c r="D60" s="463">
        <f>LN_IB16*LN_IB4</f>
        <v>9679.5143230464928</v>
      </c>
      <c r="E60" s="463">
        <f t="shared" si="6"/>
        <v>780.318071128253</v>
      </c>
      <c r="F60" s="449">
        <f t="shared" si="7"/>
        <v>8.7684106411301338E-2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12722.044080733254</v>
      </c>
      <c r="D61" s="465">
        <f>IF(LN_IB17=0,0,LN_IB14/LN_IB17)</f>
        <v>12381.593538701389</v>
      </c>
      <c r="E61" s="465">
        <f t="shared" si="6"/>
        <v>-340.45054203186555</v>
      </c>
      <c r="F61" s="449">
        <f t="shared" si="7"/>
        <v>-2.6760679327267601E-2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-6635.1324535083995</v>
      </c>
      <c r="D62" s="465">
        <f>LN_IA16-LN_IB18</f>
        <v>-6333.3859096927881</v>
      </c>
      <c r="E62" s="465">
        <f t="shared" si="6"/>
        <v>301.7465438156114</v>
      </c>
      <c r="F62" s="449">
        <f t="shared" si="7"/>
        <v>-4.5477094229831025E-2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-59047345.861243024</v>
      </c>
      <c r="D63" s="448">
        <f>LN_IB19*LN_IB17</f>
        <v>-61304099.626252182</v>
      </c>
      <c r="E63" s="448">
        <f t="shared" si="6"/>
        <v>-2256753.7650091574</v>
      </c>
      <c r="F63" s="449">
        <f t="shared" si="7"/>
        <v>3.8219393811744981E-2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259219959</v>
      </c>
      <c r="D66" s="448">
        <f>LN_IB1+LN_IB13</f>
        <v>276547279</v>
      </c>
      <c r="E66" s="448">
        <f>D66-C66</f>
        <v>17327320</v>
      </c>
      <c r="F66" s="449">
        <f>IF(C66=0,0,E66/C66)</f>
        <v>6.6844081246074105E-2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161210342</v>
      </c>
      <c r="D67" s="448">
        <f>LN_IB2+LN_IB14</f>
        <v>170099126</v>
      </c>
      <c r="E67" s="448">
        <f>D67-C67</f>
        <v>8888784</v>
      </c>
      <c r="F67" s="449">
        <f>IF(C67=0,0,E67/C67)</f>
        <v>5.5137802511454261E-2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98009617</v>
      </c>
      <c r="D68" s="448">
        <f>LN_IB21-LN_IB22</f>
        <v>106448153</v>
      </c>
      <c r="E68" s="448">
        <f>D68-C68</f>
        <v>8438536</v>
      </c>
      <c r="F68" s="449">
        <f>IF(C68=0,0,E68/C68)</f>
        <v>8.6099061074792288E-2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-77127162.400716722</v>
      </c>
      <c r="D70" s="441">
        <f>LN_IB9+LN_IB20</f>
        <v>-80350008.862428725</v>
      </c>
      <c r="E70" s="448">
        <f>D70-C70</f>
        <v>-3222846.4617120028</v>
      </c>
      <c r="F70" s="449">
        <f>IF(C70=0,0,E70/C70)</f>
        <v>4.1786140723907322E-2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236897234</v>
      </c>
      <c r="D73" s="488">
        <v>254229941</v>
      </c>
      <c r="E73" s="488">
        <f>D73-C73</f>
        <v>17332707</v>
      </c>
      <c r="F73" s="489">
        <f>IF(C73=0,0,E73/C73)</f>
        <v>7.3165510239769194E-2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157937775</v>
      </c>
      <c r="D74" s="488">
        <v>166056173</v>
      </c>
      <c r="E74" s="488">
        <f>D74-C74</f>
        <v>8118398</v>
      </c>
      <c r="F74" s="489">
        <f>IF(C74=0,0,E74/C74)</f>
        <v>5.1402509627604925E-2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78959459</v>
      </c>
      <c r="D76" s="441">
        <f>LN_IB32-LN_IB33</f>
        <v>88173768</v>
      </c>
      <c r="E76" s="488">
        <f>D76-C76</f>
        <v>9214309</v>
      </c>
      <c r="F76" s="489">
        <f>IF(E76=0,0,E76/C76)</f>
        <v>0.11669670887689339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0.33330680002789731</v>
      </c>
      <c r="D77" s="453">
        <f>IF(LN_IB32=0,0,LN_IB34/LN_IB32)</f>
        <v>0.34682684365646765</v>
      </c>
      <c r="E77" s="493">
        <f>D77-C77</f>
        <v>1.3520043628570344E-2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2087344</v>
      </c>
      <c r="D83" s="448">
        <v>2842924</v>
      </c>
      <c r="E83" s="448">
        <f t="shared" ref="E83:E95" si="8">D83-C83</f>
        <v>755580</v>
      </c>
      <c r="F83" s="449">
        <f t="shared" ref="F83:F95" si="9">IF(C83=0,0,E83/C83)</f>
        <v>0.36198154209368461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364512</v>
      </c>
      <c r="D84" s="448">
        <v>554029</v>
      </c>
      <c r="E84" s="448">
        <f t="shared" si="8"/>
        <v>189517</v>
      </c>
      <c r="F84" s="449">
        <f t="shared" si="9"/>
        <v>0.5199197831621456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0.17462957710851684</v>
      </c>
      <c r="D85" s="453">
        <f>IF(LN_IC1=0,0,LN_IC2/LN_IC1)</f>
        <v>0.19487998975702481</v>
      </c>
      <c r="E85" s="454">
        <f t="shared" si="8"/>
        <v>2.0250412648507965E-2</v>
      </c>
      <c r="F85" s="449">
        <f t="shared" si="9"/>
        <v>0.1159621009442411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89</v>
      </c>
      <c r="D86" s="456">
        <v>112</v>
      </c>
      <c r="E86" s="456">
        <f t="shared" si="8"/>
        <v>23</v>
      </c>
      <c r="F86" s="449">
        <f t="shared" si="9"/>
        <v>0.25842696629213485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1.0854999999999999</v>
      </c>
      <c r="D87" s="459">
        <v>1.2406999999999999</v>
      </c>
      <c r="E87" s="460">
        <f t="shared" si="8"/>
        <v>0.1552</v>
      </c>
      <c r="F87" s="449">
        <f t="shared" si="9"/>
        <v>0.14297558728696455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96.609499999999997</v>
      </c>
      <c r="D88" s="463">
        <f>LN_IC4*LN_IC5</f>
        <v>138.95839999999998</v>
      </c>
      <c r="E88" s="463">
        <f t="shared" si="8"/>
        <v>42.348899999999986</v>
      </c>
      <c r="F88" s="449">
        <f t="shared" si="9"/>
        <v>0.43835130085550578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3773.0450939089842</v>
      </c>
      <c r="D89" s="465">
        <f>IF(LN_IC6=0,0,LN_IC2/LN_IC6)</f>
        <v>3987.0133795438064</v>
      </c>
      <c r="E89" s="465">
        <f t="shared" si="8"/>
        <v>213.96828563482222</v>
      </c>
      <c r="F89" s="449">
        <f t="shared" si="9"/>
        <v>5.6709708023432309E-2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8537.2010013619401</v>
      </c>
      <c r="D90" s="465">
        <f>LN_IB7-LN_IC7</f>
        <v>8353.0537707671738</v>
      </c>
      <c r="E90" s="465">
        <f t="shared" si="8"/>
        <v>-184.14723059476637</v>
      </c>
      <c r="F90" s="449">
        <f t="shared" si="9"/>
        <v>-2.1569977158250035E-2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3899.84524960414</v>
      </c>
      <c r="D91" s="465">
        <f>LN_IA7-LN_IC7</f>
        <v>3676.0059444526883</v>
      </c>
      <c r="E91" s="465">
        <f t="shared" si="8"/>
        <v>-223.83930515145175</v>
      </c>
      <c r="F91" s="449">
        <f t="shared" si="9"/>
        <v>-5.739697111678288E-2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376762.09964163112</v>
      </c>
      <c r="D92" s="441">
        <f>LN_IC9*LN_IC6</f>
        <v>510811.90443163435</v>
      </c>
      <c r="E92" s="441">
        <f t="shared" si="8"/>
        <v>134049.80479000323</v>
      </c>
      <c r="F92" s="449">
        <f t="shared" si="9"/>
        <v>0.3557942927845153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459</v>
      </c>
      <c r="D93" s="456">
        <v>528</v>
      </c>
      <c r="E93" s="456">
        <f t="shared" si="8"/>
        <v>69</v>
      </c>
      <c r="F93" s="449">
        <f t="shared" si="9"/>
        <v>0.15032679738562091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794.14379084967322</v>
      </c>
      <c r="D94" s="499">
        <f>IF(LN_IC11=0,0,LN_IC2/LN_IC11)</f>
        <v>1049.2973484848485</v>
      </c>
      <c r="E94" s="499">
        <f t="shared" si="8"/>
        <v>255.15355763517528</v>
      </c>
      <c r="F94" s="449">
        <f t="shared" si="9"/>
        <v>0.32129390240800154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5.1573033707865168</v>
      </c>
      <c r="D95" s="466">
        <f>IF(LN_IC4=0,0,LN_IC11/LN_IC4)</f>
        <v>4.7142857142857144</v>
      </c>
      <c r="E95" s="466">
        <f t="shared" si="8"/>
        <v>-0.44301765650080238</v>
      </c>
      <c r="F95" s="449">
        <f t="shared" si="9"/>
        <v>-8.5901027077497624E-2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8869175</v>
      </c>
      <c r="D98" s="448">
        <v>10508130</v>
      </c>
      <c r="E98" s="448">
        <f t="shared" ref="E98:E106" si="10">D98-C98</f>
        <v>1638955</v>
      </c>
      <c r="F98" s="449">
        <f t="shared" ref="F98:F106" si="11">IF(C98=0,0,E98/C98)</f>
        <v>0.18479227211099117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1431552</v>
      </c>
      <c r="D99" s="448">
        <v>1453376</v>
      </c>
      <c r="E99" s="448">
        <f t="shared" si="10"/>
        <v>21824</v>
      </c>
      <c r="F99" s="449">
        <f t="shared" si="11"/>
        <v>1.5244992846924177E-2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0.16140757173017783</v>
      </c>
      <c r="D100" s="453">
        <f>IF(LN_IC14=0,0,LN_IC15/LN_IC14)</f>
        <v>0.13830967070258932</v>
      </c>
      <c r="E100" s="454">
        <f t="shared" si="10"/>
        <v>-2.3097901027588519E-2</v>
      </c>
      <c r="F100" s="449">
        <f t="shared" si="11"/>
        <v>-0.14310295842998536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4.2490241186886299</v>
      </c>
      <c r="D101" s="453">
        <f>IF(LN_IC1=0,0,LN_IC14/LN_IC1)</f>
        <v>3.6962402090242299</v>
      </c>
      <c r="E101" s="454">
        <f t="shared" si="10"/>
        <v>-0.55278390966440005</v>
      </c>
      <c r="F101" s="449">
        <f t="shared" si="11"/>
        <v>-0.13009667495956811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378.16314656328808</v>
      </c>
      <c r="D102" s="463">
        <f>LN_IC17*LN_IC4</f>
        <v>413.97890341071377</v>
      </c>
      <c r="E102" s="463">
        <f t="shared" si="10"/>
        <v>35.815756847425689</v>
      </c>
      <c r="F102" s="449">
        <f t="shared" si="11"/>
        <v>9.4709802298071605E-2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3785.5407461298464</v>
      </c>
      <c r="D103" s="465">
        <f>IF(LN_IC18=0,0,LN_IC15/LN_IC18)</f>
        <v>3510.7489488615006</v>
      </c>
      <c r="E103" s="465">
        <f t="shared" si="10"/>
        <v>-274.79179726834582</v>
      </c>
      <c r="F103" s="449">
        <f t="shared" si="11"/>
        <v>-7.2589840051062629E-2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8936.503334603407</v>
      </c>
      <c r="D104" s="465">
        <f>LN_IB18-LN_IC19</f>
        <v>8870.8445898398877</v>
      </c>
      <c r="E104" s="465">
        <f t="shared" si="10"/>
        <v>-65.65874476351928</v>
      </c>
      <c r="F104" s="449">
        <f t="shared" si="11"/>
        <v>-7.3472523094440436E-3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2301.3708810950084</v>
      </c>
      <c r="D105" s="465">
        <f>LN_IA16-LN_IC19</f>
        <v>2537.4586801471</v>
      </c>
      <c r="E105" s="465">
        <f t="shared" si="10"/>
        <v>236.08779905209167</v>
      </c>
      <c r="F105" s="449">
        <f t="shared" si="11"/>
        <v>0.10258572444427534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870293.65380401502</v>
      </c>
      <c r="D106" s="448">
        <f>LN_IC21*LN_IC18</f>
        <v>1050454.3618572936</v>
      </c>
      <c r="E106" s="448">
        <f t="shared" si="10"/>
        <v>180160.70805327862</v>
      </c>
      <c r="F106" s="449">
        <f t="shared" si="11"/>
        <v>0.20701140042306887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10956519</v>
      </c>
      <c r="D109" s="448">
        <f>LN_IC1+LN_IC14</f>
        <v>13351054</v>
      </c>
      <c r="E109" s="448">
        <f>D109-C109</f>
        <v>2394535</v>
      </c>
      <c r="F109" s="449">
        <f>IF(C109=0,0,E109/C109)</f>
        <v>0.21854888400230035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1796064</v>
      </c>
      <c r="D110" s="448">
        <f>LN_IC2+LN_IC15</f>
        <v>2007405</v>
      </c>
      <c r="E110" s="448">
        <f>D110-C110</f>
        <v>211341</v>
      </c>
      <c r="F110" s="449">
        <f>IF(C110=0,0,E110/C110)</f>
        <v>0.11766896947992944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9160455</v>
      </c>
      <c r="D111" s="448">
        <f>LN_IC23-LN_IC24</f>
        <v>11343649</v>
      </c>
      <c r="E111" s="448">
        <f>D111-C111</f>
        <v>2183194</v>
      </c>
      <c r="F111" s="449">
        <f>IF(C111=0,0,E111/C111)</f>
        <v>0.23832811798103914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1247055.7534456463</v>
      </c>
      <c r="D113" s="448">
        <f>LN_IC10+LN_IC22</f>
        <v>1561266.266288928</v>
      </c>
      <c r="E113" s="448">
        <f>D113-C113</f>
        <v>314210.51284328173</v>
      </c>
      <c r="F113" s="449">
        <f>IF(C113=0,0,E113/C113)</f>
        <v>0.25196188059363844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44691115</v>
      </c>
      <c r="D118" s="448">
        <v>47665462</v>
      </c>
      <c r="E118" s="448">
        <f t="shared" ref="E118:E130" si="12">D118-C118</f>
        <v>2974347</v>
      </c>
      <c r="F118" s="449">
        <f t="shared" ref="F118:F130" si="13">IF(C118=0,0,E118/C118)</f>
        <v>6.6553430139301734E-2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13444325</v>
      </c>
      <c r="D119" s="448">
        <v>13845930</v>
      </c>
      <c r="E119" s="448">
        <f t="shared" si="12"/>
        <v>401605</v>
      </c>
      <c r="F119" s="449">
        <f t="shared" si="13"/>
        <v>2.9871711670165665E-2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0.30082769248428909</v>
      </c>
      <c r="D120" s="453">
        <f>IF(LN_ID1=0,0,LN_1D2/LN_ID1)</f>
        <v>0.29048139720118521</v>
      </c>
      <c r="E120" s="454">
        <f t="shared" si="12"/>
        <v>-1.0346295283103879E-2</v>
      </c>
      <c r="F120" s="449">
        <f t="shared" si="13"/>
        <v>-3.4392762174460453E-2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2528</v>
      </c>
      <c r="D121" s="456">
        <v>2568</v>
      </c>
      <c r="E121" s="456">
        <f t="shared" si="12"/>
        <v>40</v>
      </c>
      <c r="F121" s="449">
        <f t="shared" si="13"/>
        <v>1.5822784810126583E-2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1.0661</v>
      </c>
      <c r="D122" s="459">
        <v>1.0773999999999999</v>
      </c>
      <c r="E122" s="460">
        <f t="shared" si="12"/>
        <v>1.1299999999999866E-2</v>
      </c>
      <c r="F122" s="449">
        <f t="shared" si="13"/>
        <v>1.0599380921114216E-2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2695.1008000000002</v>
      </c>
      <c r="D123" s="463">
        <f>LN_ID4*LN_ID5</f>
        <v>2766.7631999999999</v>
      </c>
      <c r="E123" s="463">
        <f t="shared" si="12"/>
        <v>71.662399999999707</v>
      </c>
      <c r="F123" s="449">
        <f t="shared" si="13"/>
        <v>2.6589877454676166E-2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4988.4312304756832</v>
      </c>
      <c r="D124" s="465">
        <f>IF(LN_ID6=0,0,LN_1D2/LN_ID6)</f>
        <v>5004.3784014475832</v>
      </c>
      <c r="E124" s="465">
        <f t="shared" si="12"/>
        <v>15.94717097190005</v>
      </c>
      <c r="F124" s="449">
        <f t="shared" si="13"/>
        <v>3.1968308742986061E-3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7321.8148647952412</v>
      </c>
      <c r="D125" s="465">
        <f>LN_IB7-LN_ID7</f>
        <v>7335.6887488633974</v>
      </c>
      <c r="E125" s="465">
        <f t="shared" si="12"/>
        <v>13.873884068156258</v>
      </c>
      <c r="F125" s="449">
        <f t="shared" si="13"/>
        <v>1.894869554113514E-3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2684.4591130374411</v>
      </c>
      <c r="D126" s="465">
        <f>LN_IA7-LN_ID7</f>
        <v>2658.6409225489115</v>
      </c>
      <c r="E126" s="465">
        <f t="shared" si="12"/>
        <v>-25.818190488529581</v>
      </c>
      <c r="F126" s="449">
        <f t="shared" si="13"/>
        <v>-9.6176508567927237E-3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7234887.9031144986</v>
      </c>
      <c r="D127" s="479">
        <f>LN_ID9*LN_ID6</f>
        <v>7355829.8665223783</v>
      </c>
      <c r="E127" s="479">
        <f t="shared" si="12"/>
        <v>120941.9634078797</v>
      </c>
      <c r="F127" s="449">
        <f t="shared" si="13"/>
        <v>1.6716494440199438E-2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9794</v>
      </c>
      <c r="D128" s="456">
        <v>10694</v>
      </c>
      <c r="E128" s="456">
        <f t="shared" si="12"/>
        <v>900</v>
      </c>
      <c r="F128" s="449">
        <f t="shared" si="13"/>
        <v>9.1892995711660194E-2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1372.7103328568512</v>
      </c>
      <c r="D129" s="465">
        <f>IF(LN_ID11=0,0,LN_1D2/LN_ID11)</f>
        <v>1294.738170936974</v>
      </c>
      <c r="E129" s="465">
        <f t="shared" si="12"/>
        <v>-77.97216191987718</v>
      </c>
      <c r="F129" s="449">
        <f t="shared" si="13"/>
        <v>-5.6801613605984465E-2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3.8742088607594938</v>
      </c>
      <c r="D130" s="466">
        <f>IF(LN_ID4=0,0,LN_ID11/LN_ID4)</f>
        <v>4.1643302180685362</v>
      </c>
      <c r="E130" s="466">
        <f t="shared" si="12"/>
        <v>0.29012135730904243</v>
      </c>
      <c r="F130" s="449">
        <f t="shared" si="13"/>
        <v>7.4885316650730976E-2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113692625</v>
      </c>
      <c r="D133" s="448">
        <v>123803313</v>
      </c>
      <c r="E133" s="448">
        <f t="shared" ref="E133:E141" si="14">D133-C133</f>
        <v>10110688</v>
      </c>
      <c r="F133" s="449">
        <f t="shared" ref="F133:F141" si="15">IF(C133=0,0,E133/C133)</f>
        <v>8.8930025144550937E-2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19412267</v>
      </c>
      <c r="D134" s="448">
        <v>23912127</v>
      </c>
      <c r="E134" s="448">
        <f t="shared" si="14"/>
        <v>4499860</v>
      </c>
      <c r="F134" s="449">
        <f t="shared" si="15"/>
        <v>0.23180497156772056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0.17074341453546349</v>
      </c>
      <c r="D135" s="453">
        <f>IF(LN_ID14=0,0,LN_ID15/LN_ID14)</f>
        <v>0.19314609941011837</v>
      </c>
      <c r="E135" s="454">
        <f t="shared" si="14"/>
        <v>2.2402684874654882E-2</v>
      </c>
      <c r="F135" s="449">
        <f t="shared" si="15"/>
        <v>0.1312067287374169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2.5439648350684472</v>
      </c>
      <c r="D136" s="453">
        <f>IF(LN_ID1=0,0,LN_ID14/LN_ID1)</f>
        <v>2.5973379425127567</v>
      </c>
      <c r="E136" s="454">
        <f t="shared" si="14"/>
        <v>5.3373107444309564E-2</v>
      </c>
      <c r="F136" s="449">
        <f t="shared" si="15"/>
        <v>2.0980285068631276E-2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6431.1431030530348</v>
      </c>
      <c r="D137" s="463">
        <f>LN_ID17*LN_ID4</f>
        <v>6669.963836372759</v>
      </c>
      <c r="E137" s="463">
        <f t="shared" si="14"/>
        <v>238.82073331972424</v>
      </c>
      <c r="F137" s="449">
        <f t="shared" si="15"/>
        <v>3.7135036414653821E-2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3018.4784709244736</v>
      </c>
      <c r="D138" s="465">
        <f>IF(LN_ID18=0,0,LN_ID15/LN_ID18)</f>
        <v>3585.0459742528119</v>
      </c>
      <c r="E138" s="465">
        <f t="shared" si="14"/>
        <v>566.56750332833826</v>
      </c>
      <c r="F138" s="449">
        <f t="shared" si="15"/>
        <v>0.18769969996003147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9703.5656098087802</v>
      </c>
      <c r="D139" s="465">
        <f>LN_IB18-LN_ID19</f>
        <v>8796.5475644485778</v>
      </c>
      <c r="E139" s="465">
        <f t="shared" si="14"/>
        <v>-907.01804536020245</v>
      </c>
      <c r="F139" s="449">
        <f t="shared" si="15"/>
        <v>-9.3472655499268198E-2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3068.4331563003811</v>
      </c>
      <c r="D140" s="465">
        <f>LN_IA16-LN_ID19</f>
        <v>2463.1616547557887</v>
      </c>
      <c r="E140" s="465">
        <f t="shared" si="14"/>
        <v>-605.27150154459241</v>
      </c>
      <c r="F140" s="449">
        <f t="shared" si="15"/>
        <v>-0.19725751571344968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19733532.73032045</v>
      </c>
      <c r="D141" s="441">
        <f>LN_ID21*LN_ID18</f>
        <v>16429199.160361193</v>
      </c>
      <c r="E141" s="441">
        <f t="shared" si="14"/>
        <v>-3304333.5699592568</v>
      </c>
      <c r="F141" s="449">
        <f t="shared" si="15"/>
        <v>-0.16744764432787895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158383740</v>
      </c>
      <c r="D144" s="448">
        <f>LN_ID1+LN_ID14</f>
        <v>171468775</v>
      </c>
      <c r="E144" s="448">
        <f>D144-C144</f>
        <v>13085035</v>
      </c>
      <c r="F144" s="449">
        <f>IF(C144=0,0,E144/C144)</f>
        <v>8.2616024852046055E-2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32856592</v>
      </c>
      <c r="D145" s="448">
        <f>LN_1D2+LN_ID15</f>
        <v>37758057</v>
      </c>
      <c r="E145" s="448">
        <f>D145-C145</f>
        <v>4901465</v>
      </c>
      <c r="F145" s="449">
        <f>IF(C145=0,0,E145/C145)</f>
        <v>0.14917752273272894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125527148</v>
      </c>
      <c r="D146" s="448">
        <f>LN_ID23-LN_ID24</f>
        <v>133710718</v>
      </c>
      <c r="E146" s="448">
        <f>D146-C146</f>
        <v>8183570</v>
      </c>
      <c r="F146" s="449">
        <f>IF(C146=0,0,E146/C146)</f>
        <v>6.5193626481500247E-2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26968420.633434948</v>
      </c>
      <c r="D148" s="448">
        <f>LN_ID10+LN_ID22</f>
        <v>23785029.026883572</v>
      </c>
      <c r="E148" s="448">
        <f>D148-C148</f>
        <v>-3183391.6065513752</v>
      </c>
      <c r="F148" s="503">
        <f>IF(C148=0,0,E148/C148)</f>
        <v>-0.11804145484903426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2302802</v>
      </c>
      <c r="D153" s="448">
        <v>1353423</v>
      </c>
      <c r="E153" s="448">
        <f t="shared" ref="E153:E165" si="16">D153-C153</f>
        <v>-949379</v>
      </c>
      <c r="F153" s="449">
        <f t="shared" ref="F153:F165" si="17">IF(C153=0,0,E153/C153)</f>
        <v>-0.41227122436058333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564828</v>
      </c>
      <c r="D154" s="448">
        <v>448891</v>
      </c>
      <c r="E154" s="448">
        <f t="shared" si="16"/>
        <v>-115937</v>
      </c>
      <c r="F154" s="449">
        <f t="shared" si="17"/>
        <v>-0.2052607165367156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0.24527857801061489</v>
      </c>
      <c r="D155" s="453">
        <f>IF(LN_IE1=0,0,LN_IE2/LN_IE1)</f>
        <v>0.33167088190462257</v>
      </c>
      <c r="E155" s="454">
        <f t="shared" si="16"/>
        <v>8.6392303894007677E-2</v>
      </c>
      <c r="F155" s="449">
        <f t="shared" si="17"/>
        <v>0.35222115438988272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98</v>
      </c>
      <c r="D156" s="506">
        <v>60</v>
      </c>
      <c r="E156" s="506">
        <f t="shared" si="16"/>
        <v>-38</v>
      </c>
      <c r="F156" s="449">
        <f t="shared" si="17"/>
        <v>-0.38775510204081631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1.3478000000000001</v>
      </c>
      <c r="D157" s="459">
        <v>1.4249000000000001</v>
      </c>
      <c r="E157" s="460">
        <f t="shared" si="16"/>
        <v>7.7099999999999946E-2</v>
      </c>
      <c r="F157" s="449">
        <f t="shared" si="17"/>
        <v>5.7204332987090031E-2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132.08440000000002</v>
      </c>
      <c r="D158" s="463">
        <f>LN_IE4*LN_IE5</f>
        <v>85.494</v>
      </c>
      <c r="E158" s="463">
        <f t="shared" si="16"/>
        <v>-46.590400000000017</v>
      </c>
      <c r="F158" s="449">
        <f t="shared" si="17"/>
        <v>-0.35273204102831229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4276.2657815760222</v>
      </c>
      <c r="D159" s="465">
        <f>IF(LN_IE6=0,0,LN_IE2/LN_IE6)</f>
        <v>5250.5555945446467</v>
      </c>
      <c r="E159" s="465">
        <f t="shared" si="16"/>
        <v>974.28981296862457</v>
      </c>
      <c r="F159" s="449">
        <f t="shared" si="17"/>
        <v>0.22783658985049079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8033.9803136949022</v>
      </c>
      <c r="D160" s="465">
        <f>LN_IB7-LN_IE7</f>
        <v>7089.5115557663339</v>
      </c>
      <c r="E160" s="465">
        <f t="shared" si="16"/>
        <v>-944.46875792856827</v>
      </c>
      <c r="F160" s="449">
        <f t="shared" si="17"/>
        <v>-0.1175592571864541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3396.624561937102</v>
      </c>
      <c r="D161" s="465">
        <f>LN_IA7-LN_IE7</f>
        <v>2412.4637294518479</v>
      </c>
      <c r="E161" s="465">
        <f t="shared" si="16"/>
        <v>-984.1608324852541</v>
      </c>
      <c r="F161" s="449">
        <f t="shared" si="17"/>
        <v>-0.28974672194090983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448641.11728872504</v>
      </c>
      <c r="D162" s="479">
        <f>LN_IE9*LN_IE6</f>
        <v>206251.1740857563</v>
      </c>
      <c r="E162" s="479">
        <f t="shared" si="16"/>
        <v>-242389.94320296875</v>
      </c>
      <c r="F162" s="449">
        <f t="shared" si="17"/>
        <v>-0.54027581035774208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625</v>
      </c>
      <c r="D163" s="456">
        <v>290</v>
      </c>
      <c r="E163" s="506">
        <f t="shared" si="16"/>
        <v>-335</v>
      </c>
      <c r="F163" s="449">
        <f t="shared" si="17"/>
        <v>-0.53600000000000003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903.72479999999996</v>
      </c>
      <c r="D164" s="465">
        <f>IF(LN_IE11=0,0,LN_IE2/LN_IE11)</f>
        <v>1547.9</v>
      </c>
      <c r="E164" s="465">
        <f t="shared" si="16"/>
        <v>644.17520000000013</v>
      </c>
      <c r="F164" s="449">
        <f t="shared" si="17"/>
        <v>0.71280017987776823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6.3775510204081636</v>
      </c>
      <c r="D165" s="466">
        <f>IF(LN_IE4=0,0,LN_IE11/LN_IE4)</f>
        <v>4.833333333333333</v>
      </c>
      <c r="E165" s="466">
        <f t="shared" si="16"/>
        <v>-1.5442176870748305</v>
      </c>
      <c r="F165" s="449">
        <f t="shared" si="17"/>
        <v>-0.24213333333333342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2956245</v>
      </c>
      <c r="D168" s="511">
        <v>3625114</v>
      </c>
      <c r="E168" s="511">
        <f t="shared" ref="E168:E176" si="18">D168-C168</f>
        <v>668869</v>
      </c>
      <c r="F168" s="449">
        <f t="shared" ref="F168:F176" si="19">IF(C168=0,0,E168/C168)</f>
        <v>0.22625628119455593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735727</v>
      </c>
      <c r="D169" s="511">
        <v>848955</v>
      </c>
      <c r="E169" s="511">
        <f t="shared" si="18"/>
        <v>113228</v>
      </c>
      <c r="F169" s="449">
        <f t="shared" si="19"/>
        <v>0.15389947630031248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0.24887213339895711</v>
      </c>
      <c r="D170" s="453">
        <f>IF(LN_IE14=0,0,LN_IE15/LN_IE14)</f>
        <v>0.2341871179775312</v>
      </c>
      <c r="E170" s="454">
        <f t="shared" si="18"/>
        <v>-1.4685015421425918E-2</v>
      </c>
      <c r="F170" s="449">
        <f t="shared" si="19"/>
        <v>-5.9006266474539146E-2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1.2837599585200985</v>
      </c>
      <c r="D171" s="453">
        <f>IF(LN_IE1=0,0,LN_IE14/LN_IE1)</f>
        <v>2.6784781993508311</v>
      </c>
      <c r="E171" s="454">
        <f t="shared" si="18"/>
        <v>1.3947182408307326</v>
      </c>
      <c r="F171" s="449">
        <f t="shared" si="19"/>
        <v>1.086432266074528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125.80847593496965</v>
      </c>
      <c r="D172" s="463">
        <f>LN_IE17*LN_IE4</f>
        <v>160.70869196104985</v>
      </c>
      <c r="E172" s="463">
        <f t="shared" si="18"/>
        <v>34.900216026080201</v>
      </c>
      <c r="F172" s="449">
        <f t="shared" si="19"/>
        <v>0.27740750984154761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5847.9923115855645</v>
      </c>
      <c r="D173" s="465">
        <f>IF(LN_IE18=0,0,LN_IE15/LN_IE18)</f>
        <v>5282.5705295750704</v>
      </c>
      <c r="E173" s="465">
        <f t="shared" si="18"/>
        <v>-565.4217820104941</v>
      </c>
      <c r="F173" s="449">
        <f t="shared" si="19"/>
        <v>-9.6686478347505114E-2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6874.0517691476898</v>
      </c>
      <c r="D174" s="465">
        <f>LN_IB18-LN_IE19</f>
        <v>7099.0230091263184</v>
      </c>
      <c r="E174" s="465">
        <f t="shared" si="18"/>
        <v>224.97123997862855</v>
      </c>
      <c r="F174" s="449">
        <f t="shared" si="19"/>
        <v>3.272760338936502E-2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238.91931563929029</v>
      </c>
      <c r="D175" s="465">
        <f>LN_IA16-LN_IE19</f>
        <v>765.63709943353024</v>
      </c>
      <c r="E175" s="465">
        <f t="shared" si="18"/>
        <v>526.71778379423995</v>
      </c>
      <c r="F175" s="449">
        <f t="shared" si="19"/>
        <v>2.2045843484226908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30058.07497200507</v>
      </c>
      <c r="D176" s="441">
        <f>LN_IE21*LN_IE18</f>
        <v>123044.53676681491</v>
      </c>
      <c r="E176" s="441">
        <f t="shared" si="18"/>
        <v>92986.461794809846</v>
      </c>
      <c r="F176" s="449">
        <f t="shared" si="19"/>
        <v>3.0935601125958279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5259047</v>
      </c>
      <c r="D179" s="448">
        <f>LN_IE1+LN_IE14</f>
        <v>4978537</v>
      </c>
      <c r="E179" s="448">
        <f>D179-C179</f>
        <v>-280510</v>
      </c>
      <c r="F179" s="449">
        <f>IF(C179=0,0,E179/C179)</f>
        <v>-5.33385611499574E-2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1300555</v>
      </c>
      <c r="D180" s="448">
        <f>LN_IE15+LN_IE2</f>
        <v>1297846</v>
      </c>
      <c r="E180" s="448">
        <f>D180-C180</f>
        <v>-2709</v>
      </c>
      <c r="F180" s="449">
        <f>IF(C180=0,0,E180/C180)</f>
        <v>-2.0829568914809446E-3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3958492</v>
      </c>
      <c r="D181" s="448">
        <f>LN_IE23-LN_IE24</f>
        <v>3680691</v>
      </c>
      <c r="E181" s="448">
        <f>D181-C181</f>
        <v>-277801</v>
      </c>
      <c r="F181" s="449">
        <f>IF(C181=0,0,E181/C181)</f>
        <v>-7.0178492213701579E-2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478699.19226073014</v>
      </c>
      <c r="D183" s="448">
        <f>LN_IE10+LN_IE22</f>
        <v>329295.71085257118</v>
      </c>
      <c r="E183" s="441">
        <f>D183-C183</f>
        <v>-149403.48140815896</v>
      </c>
      <c r="F183" s="449">
        <f>IF(C183=0,0,E183/C183)</f>
        <v>-0.31210305725100174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46993917</v>
      </c>
      <c r="D188" s="448">
        <f>LN_ID1+LN_IE1</f>
        <v>49018885</v>
      </c>
      <c r="E188" s="448">
        <f t="shared" ref="E188:E200" si="20">D188-C188</f>
        <v>2024968</v>
      </c>
      <c r="F188" s="449">
        <f t="shared" ref="F188:F200" si="21">IF(C188=0,0,E188/C188)</f>
        <v>4.3090002478405873E-2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14009153</v>
      </c>
      <c r="D189" s="448">
        <f>LN_1D2+LN_IE2</f>
        <v>14294821</v>
      </c>
      <c r="E189" s="448">
        <f t="shared" si="20"/>
        <v>285668</v>
      </c>
      <c r="F189" s="449">
        <f t="shared" si="21"/>
        <v>2.0391525454822288E-2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0.29810566759097779</v>
      </c>
      <c r="D190" s="453">
        <f>IF(LN_IF1=0,0,LN_IF2/LN_IF1)</f>
        <v>0.29161864860859238</v>
      </c>
      <c r="E190" s="454">
        <f t="shared" si="20"/>
        <v>-6.4870189823854063E-3</v>
      </c>
      <c r="F190" s="449">
        <f t="shared" si="21"/>
        <v>-2.17608039283777E-2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2626</v>
      </c>
      <c r="D191" s="456">
        <f>LN_ID4+LN_IE4</f>
        <v>2628</v>
      </c>
      <c r="E191" s="456">
        <f t="shared" si="20"/>
        <v>2</v>
      </c>
      <c r="F191" s="449">
        <f t="shared" si="21"/>
        <v>7.6161462300076163E-4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1.0766127951256665</v>
      </c>
      <c r="D192" s="459">
        <f>IF((LN_ID4+LN_IE4)=0,0,(LN_ID6+LN_IE6)/(LN_ID4+LN_IE4))</f>
        <v>1.0853337899543378</v>
      </c>
      <c r="E192" s="460">
        <f t="shared" si="20"/>
        <v>8.7209948286712802E-3</v>
      </c>
      <c r="F192" s="449">
        <f t="shared" si="21"/>
        <v>8.1004005043924174E-3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2827.1852000000003</v>
      </c>
      <c r="D193" s="463">
        <f>LN_IF4*LN_IF5</f>
        <v>2852.2572</v>
      </c>
      <c r="E193" s="463">
        <f t="shared" si="20"/>
        <v>25.071999999999662</v>
      </c>
      <c r="F193" s="449">
        <f t="shared" si="21"/>
        <v>8.8681845108695596E-3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4955.1592870534259</v>
      </c>
      <c r="D194" s="465">
        <f>IF(LN_IF6=0,0,LN_IF2/LN_IF6)</f>
        <v>5011.7573548416322</v>
      </c>
      <c r="E194" s="465">
        <f t="shared" si="20"/>
        <v>56.598067788206208</v>
      </c>
      <c r="F194" s="449">
        <f t="shared" si="21"/>
        <v>1.1422048113787704E-2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7355.0868082174984</v>
      </c>
      <c r="D195" s="465">
        <f>LN_IB7-LN_IF7</f>
        <v>7328.3097954693485</v>
      </c>
      <c r="E195" s="465">
        <f t="shared" si="20"/>
        <v>-26.7770127481499</v>
      </c>
      <c r="F195" s="449">
        <f t="shared" si="21"/>
        <v>-3.6406113818035677E-3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2717.7310564596983</v>
      </c>
      <c r="D196" s="465">
        <f>LN_IA7-LN_IF7</f>
        <v>2651.2619691548625</v>
      </c>
      <c r="E196" s="465">
        <f t="shared" si="20"/>
        <v>-66.469087304835739</v>
      </c>
      <c r="F196" s="449">
        <f t="shared" si="21"/>
        <v>-2.4457566228581463E-2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7683529.020403224</v>
      </c>
      <c r="D197" s="479">
        <f>LN_IF9*LN_IF6</f>
        <v>7562081.0406081351</v>
      </c>
      <c r="E197" s="479">
        <f t="shared" si="20"/>
        <v>-121447.97979508899</v>
      </c>
      <c r="F197" s="449">
        <f t="shared" si="21"/>
        <v>-1.5806275927713685E-2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10419</v>
      </c>
      <c r="D198" s="456">
        <f>LN_ID11+LN_IE11</f>
        <v>10984</v>
      </c>
      <c r="E198" s="456">
        <f t="shared" si="20"/>
        <v>565</v>
      </c>
      <c r="F198" s="449">
        <f t="shared" si="21"/>
        <v>5.4227852960936747E-2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1344.5775026394087</v>
      </c>
      <c r="D199" s="519">
        <f>IF(LN_IF11=0,0,LN_IF2/LN_IF11)</f>
        <v>1301.4221595047341</v>
      </c>
      <c r="E199" s="519">
        <f t="shared" si="20"/>
        <v>-43.155343134674695</v>
      </c>
      <c r="F199" s="449">
        <f t="shared" si="21"/>
        <v>-3.2095839064658342E-2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3.9676313785224675</v>
      </c>
      <c r="D200" s="466">
        <f>IF(LN_IF4=0,0,LN_IF11/LN_IF4)</f>
        <v>4.1796042617960429</v>
      </c>
      <c r="E200" s="466">
        <f t="shared" si="20"/>
        <v>0.21197288327357544</v>
      </c>
      <c r="F200" s="449">
        <f t="shared" si="21"/>
        <v>5.3425548658835698E-2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116648870</v>
      </c>
      <c r="D203" s="448">
        <f>LN_ID14+LN_IE14</f>
        <v>127428427</v>
      </c>
      <c r="E203" s="448">
        <f t="shared" ref="E203:E211" si="22">D203-C203</f>
        <v>10779557</v>
      </c>
      <c r="F203" s="449">
        <f t="shared" ref="F203:F211" si="23">IF(C203=0,0,E203/C203)</f>
        <v>9.2410299388240968E-2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20147994</v>
      </c>
      <c r="D204" s="448">
        <f>LN_ID15+LN_IE15</f>
        <v>24761082</v>
      </c>
      <c r="E204" s="448">
        <f t="shared" si="22"/>
        <v>4613088</v>
      </c>
      <c r="F204" s="449">
        <f t="shared" si="23"/>
        <v>0.22896016347830955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0.17272343915547575</v>
      </c>
      <c r="D205" s="453">
        <f>IF(LN_IF14=0,0,LN_IF15/LN_IF14)</f>
        <v>0.19431364400346871</v>
      </c>
      <c r="E205" s="454">
        <f t="shared" si="22"/>
        <v>2.1590204847992955E-2</v>
      </c>
      <c r="F205" s="449">
        <f t="shared" si="23"/>
        <v>0.12499869707063145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2.4822121126868399</v>
      </c>
      <c r="D206" s="453">
        <f>IF(LN_IF1=0,0,LN_IF14/LN_IF1)</f>
        <v>2.5995782441807886</v>
      </c>
      <c r="E206" s="454">
        <f t="shared" si="22"/>
        <v>0.1173661314939487</v>
      </c>
      <c r="F206" s="449">
        <f t="shared" si="23"/>
        <v>4.7282877596994392E-2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6556.9515789880043</v>
      </c>
      <c r="D207" s="463">
        <f>LN_ID18+LN_IE18</f>
        <v>6830.6725283338092</v>
      </c>
      <c r="E207" s="463">
        <f t="shared" si="22"/>
        <v>273.72094934580491</v>
      </c>
      <c r="F207" s="449">
        <f t="shared" si="23"/>
        <v>4.1745153376296674E-2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3072.7684591365596</v>
      </c>
      <c r="D208" s="465">
        <f>IF(LN_IF18=0,0,LN_IF15/LN_IF18)</f>
        <v>3624.9844941754095</v>
      </c>
      <c r="E208" s="465">
        <f t="shared" si="22"/>
        <v>552.2160350388499</v>
      </c>
      <c r="F208" s="449">
        <f t="shared" si="23"/>
        <v>0.17971286882904977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9649.2756215966947</v>
      </c>
      <c r="D209" s="465">
        <f>LN_IB18-LN_IF19</f>
        <v>8756.6090445259797</v>
      </c>
      <c r="E209" s="465">
        <f t="shared" si="22"/>
        <v>-892.66657707071499</v>
      </c>
      <c r="F209" s="449">
        <f t="shared" si="23"/>
        <v>-9.2511252872990557E-2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3014.1431680882952</v>
      </c>
      <c r="D210" s="465">
        <f>LN_IA16-LN_IF19</f>
        <v>2423.2231348331911</v>
      </c>
      <c r="E210" s="465">
        <f t="shared" si="22"/>
        <v>-590.92003325510404</v>
      </c>
      <c r="F210" s="449">
        <f t="shared" si="23"/>
        <v>-0.19604909266134563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19763590.805292454</v>
      </c>
      <c r="D211" s="441">
        <f>LN_IF21*LN_IF18</f>
        <v>16552243.697128013</v>
      </c>
      <c r="E211" s="441">
        <f t="shared" si="22"/>
        <v>-3211347.1081644408</v>
      </c>
      <c r="F211" s="449">
        <f t="shared" si="23"/>
        <v>-0.16248803872748066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163642787</v>
      </c>
      <c r="D214" s="448">
        <f>LN_IF1+LN_IF14</f>
        <v>176447312</v>
      </c>
      <c r="E214" s="448">
        <f>D214-C214</f>
        <v>12804525</v>
      </c>
      <c r="F214" s="449">
        <f>IF(C214=0,0,E214/C214)</f>
        <v>7.8246803508669166E-2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34157147</v>
      </c>
      <c r="D215" s="448">
        <f>LN_IF2+LN_IF15</f>
        <v>39055903</v>
      </c>
      <c r="E215" s="448">
        <f>D215-C215</f>
        <v>4898756</v>
      </c>
      <c r="F215" s="449">
        <f>IF(C215=0,0,E215/C215)</f>
        <v>0.14341818419436494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129485640</v>
      </c>
      <c r="D216" s="448">
        <f>LN_IF23-LN_IF24</f>
        <v>137391409</v>
      </c>
      <c r="E216" s="448">
        <f>D216-C216</f>
        <v>7905769</v>
      </c>
      <c r="F216" s="449">
        <f>IF(C216=0,0,E216/C216)</f>
        <v>6.1055179555045642E-2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2468203</v>
      </c>
      <c r="D221" s="448">
        <v>2997430</v>
      </c>
      <c r="E221" s="448">
        <f t="shared" ref="E221:E230" si="24">D221-C221</f>
        <v>529227</v>
      </c>
      <c r="F221" s="449">
        <f t="shared" ref="F221:F230" si="25">IF(C221=0,0,E221/C221)</f>
        <v>0.21441793888104019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946468</v>
      </c>
      <c r="D222" s="448">
        <v>1202114</v>
      </c>
      <c r="E222" s="448">
        <f t="shared" si="24"/>
        <v>255646</v>
      </c>
      <c r="F222" s="449">
        <f t="shared" si="25"/>
        <v>0.27010527561417819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0.38346440710103669</v>
      </c>
      <c r="D223" s="453">
        <f>IF(LN_IG1=0,0,LN_IG2/LN_IG1)</f>
        <v>0.40104823131816258</v>
      </c>
      <c r="E223" s="454">
        <f t="shared" si="24"/>
        <v>1.7583824217125898E-2</v>
      </c>
      <c r="F223" s="449">
        <f t="shared" si="25"/>
        <v>4.5855166454843471E-2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212</v>
      </c>
      <c r="D224" s="456">
        <v>239</v>
      </c>
      <c r="E224" s="456">
        <f t="shared" si="24"/>
        <v>27</v>
      </c>
      <c r="F224" s="449">
        <f t="shared" si="25"/>
        <v>0.12735849056603774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0.63119999999999998</v>
      </c>
      <c r="D225" s="459">
        <v>0.66520000000000001</v>
      </c>
      <c r="E225" s="460">
        <f t="shared" si="24"/>
        <v>3.400000000000003E-2</v>
      </c>
      <c r="F225" s="449">
        <f t="shared" si="25"/>
        <v>5.3865652724968363E-2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133.81440000000001</v>
      </c>
      <c r="D226" s="463">
        <f>LN_IG3*LN_IG4</f>
        <v>158.9828</v>
      </c>
      <c r="E226" s="463">
        <f t="shared" si="24"/>
        <v>25.168399999999991</v>
      </c>
      <c r="F226" s="449">
        <f t="shared" si="25"/>
        <v>0.18808439151541231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7072.9906497357533</v>
      </c>
      <c r="D227" s="465">
        <f>IF(LN_IG5=0,0,LN_IG2/LN_IG5)</f>
        <v>7561.2833589545535</v>
      </c>
      <c r="E227" s="465">
        <f t="shared" si="24"/>
        <v>488.29270921880016</v>
      </c>
      <c r="F227" s="449">
        <f t="shared" si="25"/>
        <v>6.9036244129213262E-2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539</v>
      </c>
      <c r="D228" s="456">
        <v>610</v>
      </c>
      <c r="E228" s="456">
        <f t="shared" si="24"/>
        <v>71</v>
      </c>
      <c r="F228" s="449">
        <f t="shared" si="25"/>
        <v>0.13172541743970315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1755.9703153988869</v>
      </c>
      <c r="D229" s="465">
        <f>IF(LN_IG6=0,0,LN_IG2/LN_IG6)</f>
        <v>1970.6786885245901</v>
      </c>
      <c r="E229" s="465">
        <f t="shared" si="24"/>
        <v>214.70837312570325</v>
      </c>
      <c r="F229" s="449">
        <f t="shared" si="25"/>
        <v>0.12227335009187215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2.5424528301886791</v>
      </c>
      <c r="D230" s="466">
        <f>IF(LN_IG3=0,0,LN_IG6/LN_IG3)</f>
        <v>2.5523012552301254</v>
      </c>
      <c r="E230" s="466">
        <f t="shared" si="24"/>
        <v>9.8484250414463403E-3</v>
      </c>
      <c r="F230" s="449">
        <f t="shared" si="25"/>
        <v>3.8735920385651657E-3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8574168</v>
      </c>
      <c r="D233" s="448">
        <v>9186160</v>
      </c>
      <c r="E233" s="448">
        <f>D233-C233</f>
        <v>611992</v>
      </c>
      <c r="F233" s="449">
        <f>IF(C233=0,0,E233/C233)</f>
        <v>7.1376254815627593E-2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2307600</v>
      </c>
      <c r="D234" s="448">
        <v>2219792</v>
      </c>
      <c r="E234" s="448">
        <f>D234-C234</f>
        <v>-87808</v>
      </c>
      <c r="F234" s="449">
        <f>IF(C234=0,0,E234/C234)</f>
        <v>-3.8051655399549314E-2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11042371</v>
      </c>
      <c r="D237" s="448">
        <f>LN_IG1+LN_IG9</f>
        <v>12183590</v>
      </c>
      <c r="E237" s="448">
        <f>D237-C237</f>
        <v>1141219</v>
      </c>
      <c r="F237" s="449">
        <f>IF(C237=0,0,E237/C237)</f>
        <v>0.10334909051688265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3254068</v>
      </c>
      <c r="D238" s="448">
        <f>LN_IG2+LN_IG10</f>
        <v>3421906</v>
      </c>
      <c r="E238" s="448">
        <f>D238-C238</f>
        <v>167838</v>
      </c>
      <c r="F238" s="449">
        <f>IF(C238=0,0,E238/C238)</f>
        <v>5.1577901875437142E-2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7788303</v>
      </c>
      <c r="D239" s="448">
        <f>LN_IG13-LN_IG14</f>
        <v>8761684</v>
      </c>
      <c r="E239" s="448">
        <f>D239-C239</f>
        <v>973381</v>
      </c>
      <c r="F239" s="449">
        <f>IF(C239=0,0,E239/C239)</f>
        <v>0.12497985761468192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6576794</v>
      </c>
      <c r="D243" s="448">
        <v>5244953</v>
      </c>
      <c r="E243" s="441">
        <f>D243-C243</f>
        <v>-1331841</v>
      </c>
      <c r="F243" s="503">
        <f>IF(C243=0,0,E243/C243)</f>
        <v>-0.20250611468140861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251154393</v>
      </c>
      <c r="D244" s="448">
        <v>268857395</v>
      </c>
      <c r="E244" s="441">
        <f>D244-C244</f>
        <v>17703002</v>
      </c>
      <c r="F244" s="503">
        <f>IF(C244=0,0,E244/C244)</f>
        <v>7.0486531366385455E-2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4033618</v>
      </c>
      <c r="D248" s="441">
        <v>4292994</v>
      </c>
      <c r="E248" s="441">
        <f>D248-C248</f>
        <v>259376</v>
      </c>
      <c r="F248" s="449">
        <f>IF(C248=0,0,E248/C248)</f>
        <v>6.4303560723896022E-2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8681323</v>
      </c>
      <c r="D249" s="441">
        <v>8369786</v>
      </c>
      <c r="E249" s="441">
        <f>D249-C249</f>
        <v>-311537</v>
      </c>
      <c r="F249" s="449">
        <f>IF(C249=0,0,E249/C249)</f>
        <v>-3.5885889742842195E-2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12714941</v>
      </c>
      <c r="D250" s="441">
        <f>LN_IH4+LN_IH5</f>
        <v>12662780</v>
      </c>
      <c r="E250" s="441">
        <f>D250-C250</f>
        <v>-52161</v>
      </c>
      <c r="F250" s="449">
        <f>IF(C250=0,0,E250/C250)</f>
        <v>-4.1023391300046138E-3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5106449.616074929</v>
      </c>
      <c r="D251" s="441">
        <f>LN_IH6*LN_III10</f>
        <v>5115590.3366336273</v>
      </c>
      <c r="E251" s="441">
        <f>D251-C251</f>
        <v>9140.7205586982891</v>
      </c>
      <c r="F251" s="449">
        <f>IF(C251=0,0,E251/C251)</f>
        <v>1.7900344164610209E-3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163642787</v>
      </c>
      <c r="D254" s="441">
        <f>LN_IF23</f>
        <v>176447312</v>
      </c>
      <c r="E254" s="441">
        <f>D254-C254</f>
        <v>12804525</v>
      </c>
      <c r="F254" s="449">
        <f>IF(C254=0,0,E254/C254)</f>
        <v>7.8246803508669166E-2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34157147</v>
      </c>
      <c r="D255" s="441">
        <f>LN_IF24</f>
        <v>39055903</v>
      </c>
      <c r="E255" s="441">
        <f>D255-C255</f>
        <v>4898756</v>
      </c>
      <c r="F255" s="449">
        <f>IF(C255=0,0,E255/C255)</f>
        <v>0.14341818419436494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65720607.500229955</v>
      </c>
      <c r="D256" s="441">
        <f>LN_IH8*LN_III10</f>
        <v>71282306.428144425</v>
      </c>
      <c r="E256" s="441">
        <f>D256-C256</f>
        <v>5561698.9279144704</v>
      </c>
      <c r="F256" s="449">
        <f>IF(C256=0,0,E256/C256)</f>
        <v>8.4626407750339347E-2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31563460.500229955</v>
      </c>
      <c r="D257" s="441">
        <f>LN_IH10-LN_IH9</f>
        <v>32226403.428144425</v>
      </c>
      <c r="E257" s="441">
        <f>D257-C257</f>
        <v>662942.92791447043</v>
      </c>
      <c r="F257" s="449">
        <f>IF(C257=0,0,E257/C257)</f>
        <v>2.1003493197763932E-2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248714955</v>
      </c>
      <c r="D261" s="448">
        <f>LN_IA1+LN_IB1+LN_IF1+LN_IG1</f>
        <v>246875303</v>
      </c>
      <c r="E261" s="448">
        <f t="shared" ref="E261:E274" si="26">D261-C261</f>
        <v>-1839652</v>
      </c>
      <c r="F261" s="503">
        <f t="shared" ref="F261:F274" si="27">IF(C261=0,0,E261/C261)</f>
        <v>-7.3966279993094904E-3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122450038</v>
      </c>
      <c r="D262" s="448">
        <f>+LN_IA2+LN_IB2+LN_IF2+LN_IG2</f>
        <v>123157297</v>
      </c>
      <c r="E262" s="448">
        <f t="shared" si="26"/>
        <v>707259</v>
      </c>
      <c r="F262" s="503">
        <f t="shared" si="27"/>
        <v>5.7758985750580166E-3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0.49233082103969178</v>
      </c>
      <c r="D263" s="453">
        <f>IF(LN_IIA1=0,0,LN_IIA2/LN_IIA1)</f>
        <v>0.4988643882292268</v>
      </c>
      <c r="E263" s="454">
        <f t="shared" si="26"/>
        <v>6.5335671895350167E-3</v>
      </c>
      <c r="F263" s="458">
        <f t="shared" si="27"/>
        <v>1.3270684893823211E-2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10803</v>
      </c>
      <c r="D264" s="456">
        <f>LN_IA4+LN_IB4+LN_IF4+LN_IG3</f>
        <v>10607</v>
      </c>
      <c r="E264" s="456">
        <f t="shared" si="26"/>
        <v>-196</v>
      </c>
      <c r="F264" s="503">
        <f t="shared" si="27"/>
        <v>-1.8143108395815979E-2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1.3528014070165695</v>
      </c>
      <c r="D265" s="525">
        <f>IF(LN_IIA4=0,0,LN_IIA6/LN_IIA4)</f>
        <v>1.3741065617045347</v>
      </c>
      <c r="E265" s="525">
        <f t="shared" si="26"/>
        <v>2.1305154687965233E-2</v>
      </c>
      <c r="F265" s="503">
        <f t="shared" si="27"/>
        <v>1.5748915234314421E-2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14614.313599999999</v>
      </c>
      <c r="D266" s="463">
        <f>LN_IA6+LN_IB6+LN_IF6+LN_IG5</f>
        <v>14575.148300000001</v>
      </c>
      <c r="E266" s="463">
        <f t="shared" si="26"/>
        <v>-39.165299999998751</v>
      </c>
      <c r="F266" s="503">
        <f t="shared" si="27"/>
        <v>-2.6799274377141292E-3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489888191</v>
      </c>
      <c r="D267" s="448">
        <f>LN_IA11+LN_IB13+LN_IF14+LN_IG9</f>
        <v>541601986</v>
      </c>
      <c r="E267" s="448">
        <f t="shared" si="26"/>
        <v>51713795</v>
      </c>
      <c r="F267" s="503">
        <f t="shared" si="27"/>
        <v>0.10556244455380227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1.9696772596565413</v>
      </c>
      <c r="D268" s="453">
        <f>IF(LN_IIA1=0,0,LN_IIA7/LN_IIA1)</f>
        <v>2.1938281367901755</v>
      </c>
      <c r="E268" s="454">
        <f t="shared" si="26"/>
        <v>0.22415087713363424</v>
      </c>
      <c r="F268" s="458">
        <f t="shared" si="27"/>
        <v>0.11380081484655009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174180497</v>
      </c>
      <c r="D269" s="448">
        <f>LN_IA12+LN_IB14+LN_IF15+LN_IG10</f>
        <v>189765164</v>
      </c>
      <c r="E269" s="448">
        <f t="shared" si="26"/>
        <v>15584667</v>
      </c>
      <c r="F269" s="503">
        <f t="shared" si="27"/>
        <v>8.9474236601816567E-2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0.35555153236996478</v>
      </c>
      <c r="D270" s="453">
        <f>IF(LN_IIA7=0,0,LN_IIA9/LN_IIA7)</f>
        <v>0.3503775261267229</v>
      </c>
      <c r="E270" s="454">
        <f t="shared" si="26"/>
        <v>-5.1740062432418799E-3</v>
      </c>
      <c r="F270" s="458">
        <f t="shared" si="27"/>
        <v>-1.4552057218693494E-2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738603146</v>
      </c>
      <c r="D271" s="441">
        <f>LN_IIA1+LN_IIA7</f>
        <v>788477289</v>
      </c>
      <c r="E271" s="441">
        <f t="shared" si="26"/>
        <v>49874143</v>
      </c>
      <c r="F271" s="503">
        <f t="shared" si="27"/>
        <v>6.7524953380038819E-2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296630535</v>
      </c>
      <c r="D272" s="441">
        <f>LN_IIA2+LN_IIA9</f>
        <v>312922461</v>
      </c>
      <c r="E272" s="441">
        <f t="shared" si="26"/>
        <v>16291926</v>
      </c>
      <c r="F272" s="503">
        <f t="shared" si="27"/>
        <v>5.4923293719576105E-2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0.40161016996263915</v>
      </c>
      <c r="D273" s="453">
        <f>IF(LN_IIA11=0,0,LN_IIA12/LN_IIA11)</f>
        <v>0.39686933963167076</v>
      </c>
      <c r="E273" s="454">
        <f t="shared" si="26"/>
        <v>-4.740830330968393E-3</v>
      </c>
      <c r="F273" s="458">
        <f t="shared" si="27"/>
        <v>-1.1804557467778819E-2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47919</v>
      </c>
      <c r="D274" s="508">
        <f>LN_IA8+LN_IB10+LN_IF11+LN_IG6</f>
        <v>46555</v>
      </c>
      <c r="E274" s="528">
        <f t="shared" si="26"/>
        <v>-1364</v>
      </c>
      <c r="F274" s="458">
        <f t="shared" si="27"/>
        <v>-2.8464700849349944E-2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184343467</v>
      </c>
      <c r="D277" s="448">
        <f>LN_IA1+LN_IF1+LN_IG1</f>
        <v>181994518</v>
      </c>
      <c r="E277" s="448">
        <f t="shared" ref="E277:E291" si="28">D277-C277</f>
        <v>-2348949</v>
      </c>
      <c r="F277" s="503">
        <f t="shared" ref="F277:F291" si="29">IF(C277=0,0,E277/C277)</f>
        <v>-1.2742241633114127E-2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74455663</v>
      </c>
      <c r="D278" s="448">
        <f>LN_IA2+LN_IF2+LN_IG2</f>
        <v>72905983</v>
      </c>
      <c r="E278" s="448">
        <f t="shared" si="28"/>
        <v>-1549680</v>
      </c>
      <c r="F278" s="503">
        <f t="shared" si="29"/>
        <v>-2.081346048855948E-2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0.40389640170974977</v>
      </c>
      <c r="D279" s="453">
        <f>IF(D277=0,0,LN_IIB2/D277)</f>
        <v>0.40059439043103484</v>
      </c>
      <c r="E279" s="454">
        <f t="shared" si="28"/>
        <v>-3.3020112787149336E-3</v>
      </c>
      <c r="F279" s="458">
        <f t="shared" si="29"/>
        <v>-8.1753916715698871E-3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7863</v>
      </c>
      <c r="D280" s="456">
        <f>LN_IA4+LN_IF4+LN_IG3</f>
        <v>7640</v>
      </c>
      <c r="E280" s="456">
        <f t="shared" si="28"/>
        <v>-223</v>
      </c>
      <c r="F280" s="503">
        <f t="shared" si="29"/>
        <v>-2.8360676586544575E-2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1.3627851456187206</v>
      </c>
      <c r="D281" s="525">
        <f>IF(LN_IIB4=0,0,LN_IIB6/LN_IIB4)</f>
        <v>1.3747304712041886</v>
      </c>
      <c r="E281" s="525">
        <f t="shared" si="28"/>
        <v>1.1945325585468014E-2</v>
      </c>
      <c r="F281" s="503">
        <f t="shared" si="29"/>
        <v>8.7653770103611559E-3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10715.579599999999</v>
      </c>
      <c r="D282" s="463">
        <f>LN_IA6+LN_IF6+LN_IG5</f>
        <v>10502.9408</v>
      </c>
      <c r="E282" s="463">
        <f t="shared" si="28"/>
        <v>-212.63879999999881</v>
      </c>
      <c r="F282" s="503">
        <f t="shared" si="29"/>
        <v>-1.9843891598733385E-2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295039720</v>
      </c>
      <c r="D283" s="448">
        <f>LN_IA11+LN_IF14+LN_IG9</f>
        <v>329935492</v>
      </c>
      <c r="E283" s="448">
        <f t="shared" si="28"/>
        <v>34895772</v>
      </c>
      <c r="F283" s="503">
        <f t="shared" si="29"/>
        <v>0.11827482753847515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1.6004891564722497</v>
      </c>
      <c r="D284" s="453">
        <f>IF(D277=0,0,LN_IIB7/D277)</f>
        <v>1.8128869793759392</v>
      </c>
      <c r="E284" s="454">
        <f t="shared" si="28"/>
        <v>0.21239782290368958</v>
      </c>
      <c r="F284" s="458">
        <f t="shared" si="29"/>
        <v>0.13270806743349048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60964530</v>
      </c>
      <c r="D285" s="448">
        <f>LN_IA12+LN_IF15+LN_IG10</f>
        <v>69917352</v>
      </c>
      <c r="E285" s="448">
        <f t="shared" si="28"/>
        <v>8952822</v>
      </c>
      <c r="F285" s="503">
        <f t="shared" si="29"/>
        <v>0.14685296515859303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0.20663160200938369</v>
      </c>
      <c r="D286" s="453">
        <f>IF(LN_IIB7=0,0,LN_IIB9/LN_IIB7)</f>
        <v>0.21191218797400554</v>
      </c>
      <c r="E286" s="454">
        <f t="shared" si="28"/>
        <v>5.2805859646218589E-3</v>
      </c>
      <c r="F286" s="458">
        <f t="shared" si="29"/>
        <v>2.5555558362181471E-2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479383187</v>
      </c>
      <c r="D287" s="441">
        <f>D277+LN_IIB7</f>
        <v>511930010</v>
      </c>
      <c r="E287" s="441">
        <f t="shared" si="28"/>
        <v>32546823</v>
      </c>
      <c r="F287" s="503">
        <f t="shared" si="29"/>
        <v>6.7893125755367809E-2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135420193</v>
      </c>
      <c r="D288" s="441">
        <f>LN_IIB2+LN_IIB9</f>
        <v>142823335</v>
      </c>
      <c r="E288" s="441">
        <f t="shared" si="28"/>
        <v>7403142</v>
      </c>
      <c r="F288" s="503">
        <f t="shared" si="29"/>
        <v>5.4667932721082446E-2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0.2824884073374897</v>
      </c>
      <c r="D289" s="453">
        <f>IF(LN_IIB11=0,0,LN_IIB12/LN_IIB11)</f>
        <v>0.27898996388197678</v>
      </c>
      <c r="E289" s="454">
        <f t="shared" si="28"/>
        <v>-3.4984434555129229E-3</v>
      </c>
      <c r="F289" s="458">
        <f t="shared" si="29"/>
        <v>-1.2384378844025703E-2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37026</v>
      </c>
      <c r="D290" s="508">
        <f>LN_IA8+LN_IF11+LN_IG6</f>
        <v>35984</v>
      </c>
      <c r="E290" s="528">
        <f t="shared" si="28"/>
        <v>-1042</v>
      </c>
      <c r="F290" s="458">
        <f t="shared" si="29"/>
        <v>-2.8142386431156484E-2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343962994</v>
      </c>
      <c r="D291" s="516">
        <f>LN_IIB11-LN_IIB12</f>
        <v>369106675</v>
      </c>
      <c r="E291" s="441">
        <f t="shared" si="28"/>
        <v>25143681</v>
      </c>
      <c r="F291" s="503">
        <f t="shared" si="29"/>
        <v>7.309995970089736E-2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5.1876616915422886</v>
      </c>
      <c r="D294" s="466">
        <f>IF(LN_IA4=0,0,LN_IA8/LN_IA4)</f>
        <v>5.1099937146448777</v>
      </c>
      <c r="E294" s="466">
        <f t="shared" ref="E294:E300" si="30">D294-C294</f>
        <v>-7.7667976897410895E-2</v>
      </c>
      <c r="F294" s="503">
        <f t="shared" ref="F294:F300" si="31">IF(C294=0,0,E294/C294)</f>
        <v>-1.4971673465915672E-2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3.7051020408163264</v>
      </c>
      <c r="D295" s="466">
        <f>IF(LN_IB4=0,0,(LN_IB10)/(LN_IB4))</f>
        <v>3.5628581058308053</v>
      </c>
      <c r="E295" s="466">
        <f t="shared" si="30"/>
        <v>-0.14224393498552113</v>
      </c>
      <c r="F295" s="503">
        <f t="shared" si="31"/>
        <v>-3.8391367746023329E-2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5.1573033707865168</v>
      </c>
      <c r="D296" s="466">
        <f>IF(LN_IC4=0,0,LN_IC11/LN_IC4)</f>
        <v>4.7142857142857144</v>
      </c>
      <c r="E296" s="466">
        <f t="shared" si="30"/>
        <v>-0.44301765650080238</v>
      </c>
      <c r="F296" s="503">
        <f t="shared" si="31"/>
        <v>-8.5901027077497624E-2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3.8742088607594938</v>
      </c>
      <c r="D297" s="466">
        <f>IF(LN_ID4=0,0,LN_ID11/LN_ID4)</f>
        <v>4.1643302180685362</v>
      </c>
      <c r="E297" s="466">
        <f t="shared" si="30"/>
        <v>0.29012135730904243</v>
      </c>
      <c r="F297" s="503">
        <f t="shared" si="31"/>
        <v>7.4885316650730976E-2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6.3775510204081636</v>
      </c>
      <c r="D298" s="466">
        <f>IF(LN_IE4=0,0,LN_IE11/LN_IE4)</f>
        <v>4.833333333333333</v>
      </c>
      <c r="E298" s="466">
        <f t="shared" si="30"/>
        <v>-1.5442176870748305</v>
      </c>
      <c r="F298" s="503">
        <f t="shared" si="31"/>
        <v>-0.24213333333333342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2.5424528301886791</v>
      </c>
      <c r="D299" s="466">
        <f>IF(LN_IG3=0,0,LN_IG6/LN_IG3)</f>
        <v>2.5523012552301254</v>
      </c>
      <c r="E299" s="466">
        <f t="shared" si="30"/>
        <v>9.8484250414463403E-3</v>
      </c>
      <c r="F299" s="503">
        <f t="shared" si="31"/>
        <v>3.8735920385651657E-3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4.4357123021382945</v>
      </c>
      <c r="D300" s="466">
        <f>IF(LN_IIA4=0,0,LN_IIA14/LN_IIA4)</f>
        <v>4.3890826812482322</v>
      </c>
      <c r="E300" s="466">
        <f t="shared" si="30"/>
        <v>-4.6629620890062284E-2</v>
      </c>
      <c r="F300" s="503">
        <f t="shared" si="31"/>
        <v>-1.05123185891889E-2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738603146</v>
      </c>
      <c r="D304" s="441">
        <f>LN_IIA11</f>
        <v>788477289</v>
      </c>
      <c r="E304" s="441">
        <f t="shared" ref="E304:E316" si="32">D304-C304</f>
        <v>49874143</v>
      </c>
      <c r="F304" s="449">
        <f>IF(C304=0,0,E304/C304)</f>
        <v>6.7524953380038819E-2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343962994</v>
      </c>
      <c r="D305" s="441">
        <f>LN_IIB14</f>
        <v>369106675</v>
      </c>
      <c r="E305" s="441">
        <f t="shared" si="32"/>
        <v>25143681</v>
      </c>
      <c r="F305" s="449">
        <f>IF(C305=0,0,E305/C305)</f>
        <v>7.309995970089736E-2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12714941</v>
      </c>
      <c r="D306" s="441">
        <f>LN_IH6</f>
        <v>12662780</v>
      </c>
      <c r="E306" s="441">
        <f t="shared" si="32"/>
        <v>-52161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78959459</v>
      </c>
      <c r="D307" s="441">
        <f>LN_IB32-LN_IB33</f>
        <v>88173768</v>
      </c>
      <c r="E307" s="441">
        <f t="shared" si="32"/>
        <v>9214309</v>
      </c>
      <c r="F307" s="449">
        <f t="shared" ref="F307:F316" si="33">IF(C307=0,0,E307/C307)</f>
        <v>0.11669670887689339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6335217</v>
      </c>
      <c r="D308" s="441">
        <v>0</v>
      </c>
      <c r="E308" s="441">
        <f t="shared" si="32"/>
        <v>-6335217</v>
      </c>
      <c r="F308" s="449">
        <f t="shared" si="33"/>
        <v>-1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441972611</v>
      </c>
      <c r="D309" s="441">
        <f>LN_III2+LN_III3+LN_III4+LN_III5</f>
        <v>469943223</v>
      </c>
      <c r="E309" s="441">
        <f t="shared" si="32"/>
        <v>27970612</v>
      </c>
      <c r="F309" s="449">
        <f t="shared" si="33"/>
        <v>6.3285849176749093E-2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296630535</v>
      </c>
      <c r="D310" s="441">
        <f>LN_III1-LN_III6</f>
        <v>318534066</v>
      </c>
      <c r="E310" s="441">
        <f t="shared" si="32"/>
        <v>21903531</v>
      </c>
      <c r="F310" s="449">
        <f t="shared" si="33"/>
        <v>7.3841120233963775E-2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296630535</v>
      </c>
      <c r="D312" s="441">
        <f>LN_III7+LN_III8</f>
        <v>318534066</v>
      </c>
      <c r="E312" s="441">
        <f t="shared" si="32"/>
        <v>21903531</v>
      </c>
      <c r="F312" s="449">
        <f t="shared" si="33"/>
        <v>7.3841120233963775E-2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0.40161016996263915</v>
      </c>
      <c r="D313" s="532">
        <f>IF(LN_III1=0,0,LN_III9/LN_III1)</f>
        <v>0.40398635502106389</v>
      </c>
      <c r="E313" s="532">
        <f t="shared" si="32"/>
        <v>2.3761850584247401E-3</v>
      </c>
      <c r="F313" s="449">
        <f t="shared" si="33"/>
        <v>5.9166456333657859E-3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5106449.616074929</v>
      </c>
      <c r="D314" s="441">
        <f>D313*LN_III5</f>
        <v>5115590.3366336273</v>
      </c>
      <c r="E314" s="441">
        <f t="shared" si="32"/>
        <v>9140.7205586982891</v>
      </c>
      <c r="F314" s="449">
        <f t="shared" si="33"/>
        <v>1.7900344164610209E-3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31563460.500229955</v>
      </c>
      <c r="D315" s="441">
        <f>D313*LN_IH8-LN_IH9</f>
        <v>32226403.428144425</v>
      </c>
      <c r="E315" s="441">
        <f t="shared" si="32"/>
        <v>662942.92791447043</v>
      </c>
      <c r="F315" s="449">
        <f t="shared" si="33"/>
        <v>2.1003493197763932E-2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36669910.116304882</v>
      </c>
      <c r="D318" s="441">
        <f>D314+D315+D316</f>
        <v>37341993.764778055</v>
      </c>
      <c r="E318" s="441">
        <f>D318-C318</f>
        <v>672083.64847317338</v>
      </c>
      <c r="F318" s="449">
        <f>IF(C318=0,0,E318/C318)</f>
        <v>1.8327932802167917E-2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19733532.73032045</v>
      </c>
      <c r="D322" s="441">
        <f>LN_ID22</f>
        <v>16429199.160361193</v>
      </c>
      <c r="E322" s="441">
        <f>LN_IV2-C322</f>
        <v>-3304333.5699592568</v>
      </c>
      <c r="F322" s="449">
        <f>IF(C322=0,0,E322/C322)</f>
        <v>-0.16744764432787895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478699.19226073014</v>
      </c>
      <c r="D323" s="441">
        <f>LN_IE10+LN_IE22</f>
        <v>329295.71085257118</v>
      </c>
      <c r="E323" s="441">
        <f>LN_IV3-C323</f>
        <v>-149403.48140815896</v>
      </c>
      <c r="F323" s="449">
        <f>IF(C323=0,0,E323/C323)</f>
        <v>-0.31210305725100174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1247055.7534456463</v>
      </c>
      <c r="D324" s="441">
        <f>LN_IC10+LN_IC22</f>
        <v>1561266.266288928</v>
      </c>
      <c r="E324" s="441">
        <f>LN_IV1-C324</f>
        <v>314210.51284328173</v>
      </c>
      <c r="F324" s="449">
        <f>IF(C324=0,0,E324/C324)</f>
        <v>0.25196188059363844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21459287.676026829</v>
      </c>
      <c r="D325" s="516">
        <f>LN_IV1+LN_IV2+LN_IV3</f>
        <v>18319761.137502693</v>
      </c>
      <c r="E325" s="441">
        <f>LN_IV4-C325</f>
        <v>-3139526.5385241359</v>
      </c>
      <c r="F325" s="449">
        <f>IF(C325=0,0,E325/C325)</f>
        <v>-0.14630152621661563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9607784</v>
      </c>
      <c r="D329" s="518">
        <v>0</v>
      </c>
      <c r="E329" s="518">
        <f t="shared" ref="E329:E335" si="34">D329-C329</f>
        <v>-9607784</v>
      </c>
      <c r="F329" s="542">
        <f t="shared" ref="F329:F335" si="35">IF(C329=0,0,E329/C329)</f>
        <v>-1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-11102535</v>
      </c>
      <c r="D330" s="516">
        <v>-12778461</v>
      </c>
      <c r="E330" s="518">
        <f t="shared" si="34"/>
        <v>-1675926</v>
      </c>
      <c r="F330" s="543">
        <f t="shared" si="35"/>
        <v>0.15094985064221819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285528000</v>
      </c>
      <c r="D331" s="516">
        <v>300144000</v>
      </c>
      <c r="E331" s="518">
        <f t="shared" si="34"/>
        <v>14616000</v>
      </c>
      <c r="F331" s="542">
        <f t="shared" si="35"/>
        <v>5.1189375472808274E-2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738603146</v>
      </c>
      <c r="D333" s="516">
        <v>788477289</v>
      </c>
      <c r="E333" s="518">
        <f t="shared" si="34"/>
        <v>49874143</v>
      </c>
      <c r="F333" s="542">
        <f t="shared" si="35"/>
        <v>6.7524953380038819E-2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81470</v>
      </c>
      <c r="D334" s="516">
        <v>255977</v>
      </c>
      <c r="E334" s="516">
        <f t="shared" si="34"/>
        <v>174507</v>
      </c>
      <c r="F334" s="543">
        <f t="shared" si="35"/>
        <v>2.1419786424450717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12796411</v>
      </c>
      <c r="D335" s="516">
        <v>12918757</v>
      </c>
      <c r="E335" s="516">
        <f t="shared" si="34"/>
        <v>122346</v>
      </c>
      <c r="F335" s="542">
        <f t="shared" si="35"/>
        <v>9.5609620541259582E-3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FILING&amp;RWILLIAM W. BACKUS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topLeftCell="A253" zoomScale="75" zoomScaleNormal="75" zoomScaleSheetLayoutView="68" workbookViewId="0">
      <selection activeCell="I288" sqref="I288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64371488</v>
      </c>
      <c r="D14" s="589">
        <v>64880785</v>
      </c>
      <c r="E14" s="590">
        <f t="shared" ref="E14:E22" si="0">D14-C14</f>
        <v>509297</v>
      </c>
    </row>
    <row r="15" spans="1:5" s="421" customFormat="1" x14ac:dyDescent="0.2">
      <c r="A15" s="588">
        <v>2</v>
      </c>
      <c r="B15" s="587" t="s">
        <v>636</v>
      </c>
      <c r="C15" s="589">
        <v>134881347</v>
      </c>
      <c r="D15" s="591">
        <v>129978203</v>
      </c>
      <c r="E15" s="590">
        <f t="shared" si="0"/>
        <v>-4903144</v>
      </c>
    </row>
    <row r="16" spans="1:5" s="421" customFormat="1" x14ac:dyDescent="0.2">
      <c r="A16" s="588">
        <v>3</v>
      </c>
      <c r="B16" s="587" t="s">
        <v>778</v>
      </c>
      <c r="C16" s="589">
        <v>46993917</v>
      </c>
      <c r="D16" s="591">
        <v>49018885</v>
      </c>
      <c r="E16" s="590">
        <f t="shared" si="0"/>
        <v>2024968</v>
      </c>
    </row>
    <row r="17" spans="1:5" s="421" customFormat="1" x14ac:dyDescent="0.2">
      <c r="A17" s="588">
        <v>4</v>
      </c>
      <c r="B17" s="587" t="s">
        <v>115</v>
      </c>
      <c r="C17" s="589">
        <v>44691115</v>
      </c>
      <c r="D17" s="591">
        <v>47665462</v>
      </c>
      <c r="E17" s="590">
        <f t="shared" si="0"/>
        <v>2974347</v>
      </c>
    </row>
    <row r="18" spans="1:5" s="421" customFormat="1" x14ac:dyDescent="0.2">
      <c r="A18" s="588">
        <v>5</v>
      </c>
      <c r="B18" s="587" t="s">
        <v>744</v>
      </c>
      <c r="C18" s="589">
        <v>2302802</v>
      </c>
      <c r="D18" s="591">
        <v>1353423</v>
      </c>
      <c r="E18" s="590">
        <f t="shared" si="0"/>
        <v>-949379</v>
      </c>
    </row>
    <row r="19" spans="1:5" s="421" customFormat="1" x14ac:dyDescent="0.2">
      <c r="A19" s="588">
        <v>6</v>
      </c>
      <c r="B19" s="587" t="s">
        <v>424</v>
      </c>
      <c r="C19" s="589">
        <v>2468203</v>
      </c>
      <c r="D19" s="591">
        <v>2997430</v>
      </c>
      <c r="E19" s="590">
        <f t="shared" si="0"/>
        <v>529227</v>
      </c>
    </row>
    <row r="20" spans="1:5" s="421" customFormat="1" x14ac:dyDescent="0.2">
      <c r="A20" s="588">
        <v>7</v>
      </c>
      <c r="B20" s="587" t="s">
        <v>759</v>
      </c>
      <c r="C20" s="589">
        <v>2087344</v>
      </c>
      <c r="D20" s="591">
        <v>2842924</v>
      </c>
      <c r="E20" s="590">
        <f t="shared" si="0"/>
        <v>755580</v>
      </c>
    </row>
    <row r="21" spans="1:5" s="421" customFormat="1" x14ac:dyDescent="0.2">
      <c r="A21" s="588"/>
      <c r="B21" s="592" t="s">
        <v>779</v>
      </c>
      <c r="C21" s="593">
        <f>SUM(C15+C16+C19)</f>
        <v>184343467</v>
      </c>
      <c r="D21" s="593">
        <f>SUM(D15+D16+D19)</f>
        <v>181994518</v>
      </c>
      <c r="E21" s="593">
        <f t="shared" si="0"/>
        <v>-2348949</v>
      </c>
    </row>
    <row r="22" spans="1:5" s="421" customFormat="1" x14ac:dyDescent="0.2">
      <c r="A22" s="588"/>
      <c r="B22" s="592" t="s">
        <v>465</v>
      </c>
      <c r="C22" s="593">
        <f>SUM(C14+C21)</f>
        <v>248714955</v>
      </c>
      <c r="D22" s="593">
        <f>SUM(D14+D21)</f>
        <v>246875303</v>
      </c>
      <c r="E22" s="593">
        <f t="shared" si="0"/>
        <v>-1839652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194848471</v>
      </c>
      <c r="D25" s="589">
        <v>211666494</v>
      </c>
      <c r="E25" s="590">
        <f t="shared" ref="E25:E33" si="1">D25-C25</f>
        <v>16818023</v>
      </c>
    </row>
    <row r="26" spans="1:5" s="421" customFormat="1" x14ac:dyDescent="0.2">
      <c r="A26" s="588">
        <v>2</v>
      </c>
      <c r="B26" s="587" t="s">
        <v>636</v>
      </c>
      <c r="C26" s="589">
        <v>169816682</v>
      </c>
      <c r="D26" s="591">
        <v>193320905</v>
      </c>
      <c r="E26" s="590">
        <f t="shared" si="1"/>
        <v>23504223</v>
      </c>
    </row>
    <row r="27" spans="1:5" s="421" customFormat="1" x14ac:dyDescent="0.2">
      <c r="A27" s="588">
        <v>3</v>
      </c>
      <c r="B27" s="587" t="s">
        <v>778</v>
      </c>
      <c r="C27" s="589">
        <v>116648870</v>
      </c>
      <c r="D27" s="591">
        <v>127428427</v>
      </c>
      <c r="E27" s="590">
        <f t="shared" si="1"/>
        <v>10779557</v>
      </c>
    </row>
    <row r="28" spans="1:5" s="421" customFormat="1" x14ac:dyDescent="0.2">
      <c r="A28" s="588">
        <v>4</v>
      </c>
      <c r="B28" s="587" t="s">
        <v>115</v>
      </c>
      <c r="C28" s="589">
        <v>113692625</v>
      </c>
      <c r="D28" s="591">
        <v>123803313</v>
      </c>
      <c r="E28" s="590">
        <f t="shared" si="1"/>
        <v>10110688</v>
      </c>
    </row>
    <row r="29" spans="1:5" s="421" customFormat="1" x14ac:dyDescent="0.2">
      <c r="A29" s="588">
        <v>5</v>
      </c>
      <c r="B29" s="587" t="s">
        <v>744</v>
      </c>
      <c r="C29" s="589">
        <v>2956245</v>
      </c>
      <c r="D29" s="591">
        <v>3625114</v>
      </c>
      <c r="E29" s="590">
        <f t="shared" si="1"/>
        <v>668869</v>
      </c>
    </row>
    <row r="30" spans="1:5" s="421" customFormat="1" x14ac:dyDescent="0.2">
      <c r="A30" s="588">
        <v>6</v>
      </c>
      <c r="B30" s="587" t="s">
        <v>424</v>
      </c>
      <c r="C30" s="589">
        <v>8574168</v>
      </c>
      <c r="D30" s="591">
        <v>9186160</v>
      </c>
      <c r="E30" s="590">
        <f t="shared" si="1"/>
        <v>611992</v>
      </c>
    </row>
    <row r="31" spans="1:5" s="421" customFormat="1" x14ac:dyDescent="0.2">
      <c r="A31" s="588">
        <v>7</v>
      </c>
      <c r="B31" s="587" t="s">
        <v>759</v>
      </c>
      <c r="C31" s="590">
        <v>8869175</v>
      </c>
      <c r="D31" s="594">
        <v>10508130</v>
      </c>
      <c r="E31" s="590">
        <f t="shared" si="1"/>
        <v>1638955</v>
      </c>
    </row>
    <row r="32" spans="1:5" s="421" customFormat="1" x14ac:dyDescent="0.2">
      <c r="A32" s="588"/>
      <c r="B32" s="592" t="s">
        <v>781</v>
      </c>
      <c r="C32" s="593">
        <f>SUM(C26+C27+C30)</f>
        <v>295039720</v>
      </c>
      <c r="D32" s="593">
        <f>SUM(D26+D27+D30)</f>
        <v>329935492</v>
      </c>
      <c r="E32" s="593">
        <f t="shared" si="1"/>
        <v>34895772</v>
      </c>
    </row>
    <row r="33" spans="1:5" s="421" customFormat="1" x14ac:dyDescent="0.2">
      <c r="A33" s="588"/>
      <c r="B33" s="592" t="s">
        <v>467</v>
      </c>
      <c r="C33" s="593">
        <f>SUM(C25+C32)</f>
        <v>489888191</v>
      </c>
      <c r="D33" s="593">
        <f>SUM(D25+D32)</f>
        <v>541601986</v>
      </c>
      <c r="E33" s="593">
        <f t="shared" si="1"/>
        <v>51713795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259219959</v>
      </c>
      <c r="D36" s="590">
        <f t="shared" si="2"/>
        <v>276547279</v>
      </c>
      <c r="E36" s="590">
        <f t="shared" ref="E36:E44" si="3">D36-C36</f>
        <v>17327320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304698029</v>
      </c>
      <c r="D37" s="590">
        <f t="shared" si="2"/>
        <v>323299108</v>
      </c>
      <c r="E37" s="590">
        <f t="shared" si="3"/>
        <v>18601079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163642787</v>
      </c>
      <c r="D38" s="590">
        <f t="shared" si="2"/>
        <v>176447312</v>
      </c>
      <c r="E38" s="590">
        <f t="shared" si="3"/>
        <v>12804525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158383740</v>
      </c>
      <c r="D39" s="590">
        <f t="shared" si="2"/>
        <v>171468775</v>
      </c>
      <c r="E39" s="590">
        <f t="shared" si="3"/>
        <v>13085035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5259047</v>
      </c>
      <c r="D40" s="590">
        <f t="shared" si="2"/>
        <v>4978537</v>
      </c>
      <c r="E40" s="590">
        <f t="shared" si="3"/>
        <v>-280510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11042371</v>
      </c>
      <c r="D41" s="590">
        <f t="shared" si="2"/>
        <v>12183590</v>
      </c>
      <c r="E41" s="590">
        <f t="shared" si="3"/>
        <v>1141219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10956519</v>
      </c>
      <c r="D42" s="590">
        <f t="shared" si="2"/>
        <v>13351054</v>
      </c>
      <c r="E42" s="590">
        <f t="shared" si="3"/>
        <v>2394535</v>
      </c>
    </row>
    <row r="43" spans="1:5" s="421" customFormat="1" x14ac:dyDescent="0.2">
      <c r="A43" s="588"/>
      <c r="B43" s="592" t="s">
        <v>789</v>
      </c>
      <c r="C43" s="593">
        <f>SUM(C37+C38+C41)</f>
        <v>479383187</v>
      </c>
      <c r="D43" s="593">
        <f>SUM(D37+D38+D41)</f>
        <v>511930010</v>
      </c>
      <c r="E43" s="593">
        <f t="shared" si="3"/>
        <v>32546823</v>
      </c>
    </row>
    <row r="44" spans="1:5" s="421" customFormat="1" x14ac:dyDescent="0.2">
      <c r="A44" s="588"/>
      <c r="B44" s="592" t="s">
        <v>726</v>
      </c>
      <c r="C44" s="593">
        <f>SUM(C36+C43)</f>
        <v>738603146</v>
      </c>
      <c r="D44" s="593">
        <f>SUM(D36+D43)</f>
        <v>788477289</v>
      </c>
      <c r="E44" s="593">
        <f t="shared" si="3"/>
        <v>49874143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47994375</v>
      </c>
      <c r="D47" s="589">
        <v>50251314</v>
      </c>
      <c r="E47" s="590">
        <f t="shared" ref="E47:E55" si="4">D47-C47</f>
        <v>2256939</v>
      </c>
    </row>
    <row r="48" spans="1:5" s="421" customFormat="1" x14ac:dyDescent="0.2">
      <c r="A48" s="588">
        <v>2</v>
      </c>
      <c r="B48" s="587" t="s">
        <v>636</v>
      </c>
      <c r="C48" s="589">
        <v>59500042</v>
      </c>
      <c r="D48" s="591">
        <v>57409048</v>
      </c>
      <c r="E48" s="590">
        <f t="shared" si="4"/>
        <v>-2090994</v>
      </c>
    </row>
    <row r="49" spans="1:5" s="421" customFormat="1" x14ac:dyDescent="0.2">
      <c r="A49" s="588">
        <v>3</v>
      </c>
      <c r="B49" s="587" t="s">
        <v>778</v>
      </c>
      <c r="C49" s="589">
        <v>14009153</v>
      </c>
      <c r="D49" s="591">
        <v>14294821</v>
      </c>
      <c r="E49" s="590">
        <f t="shared" si="4"/>
        <v>285668</v>
      </c>
    </row>
    <row r="50" spans="1:5" s="421" customFormat="1" x14ac:dyDescent="0.2">
      <c r="A50" s="588">
        <v>4</v>
      </c>
      <c r="B50" s="587" t="s">
        <v>115</v>
      </c>
      <c r="C50" s="589">
        <v>13444325</v>
      </c>
      <c r="D50" s="591">
        <v>13845930</v>
      </c>
      <c r="E50" s="590">
        <f t="shared" si="4"/>
        <v>401605</v>
      </c>
    </row>
    <row r="51" spans="1:5" s="421" customFormat="1" x14ac:dyDescent="0.2">
      <c r="A51" s="588">
        <v>5</v>
      </c>
      <c r="B51" s="587" t="s">
        <v>744</v>
      </c>
      <c r="C51" s="589">
        <v>564828</v>
      </c>
      <c r="D51" s="591">
        <v>448891</v>
      </c>
      <c r="E51" s="590">
        <f t="shared" si="4"/>
        <v>-115937</v>
      </c>
    </row>
    <row r="52" spans="1:5" s="421" customFormat="1" x14ac:dyDescent="0.2">
      <c r="A52" s="588">
        <v>6</v>
      </c>
      <c r="B52" s="587" t="s">
        <v>424</v>
      </c>
      <c r="C52" s="589">
        <v>946468</v>
      </c>
      <c r="D52" s="591">
        <v>1202114</v>
      </c>
      <c r="E52" s="590">
        <f t="shared" si="4"/>
        <v>255646</v>
      </c>
    </row>
    <row r="53" spans="1:5" s="421" customFormat="1" x14ac:dyDescent="0.2">
      <c r="A53" s="588">
        <v>7</v>
      </c>
      <c r="B53" s="587" t="s">
        <v>759</v>
      </c>
      <c r="C53" s="589">
        <v>364512</v>
      </c>
      <c r="D53" s="591">
        <v>554029</v>
      </c>
      <c r="E53" s="590">
        <f t="shared" si="4"/>
        <v>189517</v>
      </c>
    </row>
    <row r="54" spans="1:5" s="421" customFormat="1" x14ac:dyDescent="0.2">
      <c r="A54" s="588"/>
      <c r="B54" s="592" t="s">
        <v>791</v>
      </c>
      <c r="C54" s="593">
        <f>SUM(C48+C49+C52)</f>
        <v>74455663</v>
      </c>
      <c r="D54" s="593">
        <f>SUM(D48+D49+D52)</f>
        <v>72905983</v>
      </c>
      <c r="E54" s="593">
        <f t="shared" si="4"/>
        <v>-1549680</v>
      </c>
    </row>
    <row r="55" spans="1:5" s="421" customFormat="1" x14ac:dyDescent="0.2">
      <c r="A55" s="588"/>
      <c r="B55" s="592" t="s">
        <v>466</v>
      </c>
      <c r="C55" s="593">
        <f>SUM(C47+C54)</f>
        <v>122450038</v>
      </c>
      <c r="D55" s="593">
        <f>SUM(D47+D54)</f>
        <v>123157297</v>
      </c>
      <c r="E55" s="593">
        <f t="shared" si="4"/>
        <v>707259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113215967</v>
      </c>
      <c r="D58" s="589">
        <v>119847812</v>
      </c>
      <c r="E58" s="590">
        <f t="shared" ref="E58:E66" si="5">D58-C58</f>
        <v>6631845</v>
      </c>
    </row>
    <row r="59" spans="1:5" s="421" customFormat="1" x14ac:dyDescent="0.2">
      <c r="A59" s="588">
        <v>2</v>
      </c>
      <c r="B59" s="587" t="s">
        <v>636</v>
      </c>
      <c r="C59" s="589">
        <v>38508936</v>
      </c>
      <c r="D59" s="591">
        <v>42936478</v>
      </c>
      <c r="E59" s="590">
        <f t="shared" si="5"/>
        <v>4427542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20147994</v>
      </c>
      <c r="D60" s="591">
        <f>D61+D62</f>
        <v>24761082</v>
      </c>
      <c r="E60" s="590">
        <f t="shared" si="5"/>
        <v>4613088</v>
      </c>
    </row>
    <row r="61" spans="1:5" s="421" customFormat="1" x14ac:dyDescent="0.2">
      <c r="A61" s="588">
        <v>4</v>
      </c>
      <c r="B61" s="587" t="s">
        <v>115</v>
      </c>
      <c r="C61" s="589">
        <v>19412267</v>
      </c>
      <c r="D61" s="591">
        <v>23912127</v>
      </c>
      <c r="E61" s="590">
        <f t="shared" si="5"/>
        <v>4499860</v>
      </c>
    </row>
    <row r="62" spans="1:5" s="421" customFormat="1" x14ac:dyDescent="0.2">
      <c r="A62" s="588">
        <v>5</v>
      </c>
      <c r="B62" s="587" t="s">
        <v>744</v>
      </c>
      <c r="C62" s="589">
        <v>735727</v>
      </c>
      <c r="D62" s="591">
        <v>848955</v>
      </c>
      <c r="E62" s="590">
        <f t="shared" si="5"/>
        <v>113228</v>
      </c>
    </row>
    <row r="63" spans="1:5" s="421" customFormat="1" x14ac:dyDescent="0.2">
      <c r="A63" s="588">
        <v>6</v>
      </c>
      <c r="B63" s="587" t="s">
        <v>424</v>
      </c>
      <c r="C63" s="589">
        <v>2307600</v>
      </c>
      <c r="D63" s="591">
        <v>2219792</v>
      </c>
      <c r="E63" s="590">
        <f t="shared" si="5"/>
        <v>-87808</v>
      </c>
    </row>
    <row r="64" spans="1:5" s="421" customFormat="1" x14ac:dyDescent="0.2">
      <c r="A64" s="588">
        <v>7</v>
      </c>
      <c r="B64" s="587" t="s">
        <v>759</v>
      </c>
      <c r="C64" s="589">
        <v>1431552</v>
      </c>
      <c r="D64" s="591">
        <v>1453376</v>
      </c>
      <c r="E64" s="590">
        <f t="shared" si="5"/>
        <v>21824</v>
      </c>
    </row>
    <row r="65" spans="1:5" s="421" customFormat="1" x14ac:dyDescent="0.2">
      <c r="A65" s="588"/>
      <c r="B65" s="592" t="s">
        <v>793</v>
      </c>
      <c r="C65" s="593">
        <f>SUM(C59+C60+C63)</f>
        <v>60964530</v>
      </c>
      <c r="D65" s="593">
        <f>SUM(D59+D60+D63)</f>
        <v>69917352</v>
      </c>
      <c r="E65" s="593">
        <f t="shared" si="5"/>
        <v>8952822</v>
      </c>
    </row>
    <row r="66" spans="1:5" s="421" customFormat="1" x14ac:dyDescent="0.2">
      <c r="A66" s="588"/>
      <c r="B66" s="592" t="s">
        <v>468</v>
      </c>
      <c r="C66" s="593">
        <f>SUM(C58+C65)</f>
        <v>174180497</v>
      </c>
      <c r="D66" s="593">
        <f>SUM(D58+D65)</f>
        <v>189765164</v>
      </c>
      <c r="E66" s="593">
        <f t="shared" si="5"/>
        <v>15584667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161210342</v>
      </c>
      <c r="D69" s="590">
        <f t="shared" si="6"/>
        <v>170099126</v>
      </c>
      <c r="E69" s="590">
        <f t="shared" ref="E69:E77" si="7">D69-C69</f>
        <v>8888784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98008978</v>
      </c>
      <c r="D70" s="590">
        <f t="shared" si="6"/>
        <v>100345526</v>
      </c>
      <c r="E70" s="590">
        <f t="shared" si="7"/>
        <v>2336548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34157147</v>
      </c>
      <c r="D71" s="590">
        <f t="shared" si="6"/>
        <v>39055903</v>
      </c>
      <c r="E71" s="590">
        <f t="shared" si="7"/>
        <v>4898756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32856592</v>
      </c>
      <c r="D72" s="590">
        <f t="shared" si="6"/>
        <v>37758057</v>
      </c>
      <c r="E72" s="590">
        <f t="shared" si="7"/>
        <v>4901465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1300555</v>
      </c>
      <c r="D73" s="590">
        <f t="shared" si="6"/>
        <v>1297846</v>
      </c>
      <c r="E73" s="590">
        <f t="shared" si="7"/>
        <v>-2709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3254068</v>
      </c>
      <c r="D74" s="590">
        <f t="shared" si="6"/>
        <v>3421906</v>
      </c>
      <c r="E74" s="590">
        <f t="shared" si="7"/>
        <v>167838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1796064</v>
      </c>
      <c r="D75" s="590">
        <f t="shared" si="6"/>
        <v>2007405</v>
      </c>
      <c r="E75" s="590">
        <f t="shared" si="7"/>
        <v>211341</v>
      </c>
    </row>
    <row r="76" spans="1:5" s="421" customFormat="1" x14ac:dyDescent="0.2">
      <c r="A76" s="588"/>
      <c r="B76" s="592" t="s">
        <v>794</v>
      </c>
      <c r="C76" s="593">
        <f>SUM(C70+C71+C74)</f>
        <v>135420193</v>
      </c>
      <c r="D76" s="593">
        <f>SUM(D70+D71+D74)</f>
        <v>142823335</v>
      </c>
      <c r="E76" s="593">
        <f t="shared" si="7"/>
        <v>7403142</v>
      </c>
    </row>
    <row r="77" spans="1:5" s="421" customFormat="1" x14ac:dyDescent="0.2">
      <c r="A77" s="588"/>
      <c r="B77" s="592" t="s">
        <v>727</v>
      </c>
      <c r="C77" s="593">
        <f>SUM(C69+C76)</f>
        <v>296630535</v>
      </c>
      <c r="D77" s="593">
        <f>SUM(D69+D76)</f>
        <v>312922461</v>
      </c>
      <c r="E77" s="593">
        <f t="shared" si="7"/>
        <v>16291926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8.7153010853815133E-2</v>
      </c>
      <c r="D83" s="599">
        <f t="shared" si="8"/>
        <v>8.2286181105211256E-2</v>
      </c>
      <c r="E83" s="599">
        <f t="shared" ref="E83:E91" si="9">D83-C83</f>
        <v>-4.8668297486038764E-3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0.18261680542584638</v>
      </c>
      <c r="D84" s="599">
        <f t="shared" si="8"/>
        <v>0.16484711077074535</v>
      </c>
      <c r="E84" s="599">
        <f t="shared" si="9"/>
        <v>-1.7769694655101032E-2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6.3625395118476785E-2</v>
      </c>
      <c r="D85" s="599">
        <f t="shared" si="8"/>
        <v>6.2169051263567844E-2</v>
      </c>
      <c r="E85" s="599">
        <f t="shared" si="9"/>
        <v>-1.4563438549089411E-3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6.050761527625554E-2</v>
      </c>
      <c r="D86" s="599">
        <f t="shared" si="8"/>
        <v>6.0452549065113277E-2</v>
      </c>
      <c r="E86" s="599">
        <f t="shared" si="9"/>
        <v>-5.5066211142262844E-5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3.1177798422212517E-3</v>
      </c>
      <c r="D87" s="599">
        <f t="shared" si="8"/>
        <v>1.7165021984545709E-3</v>
      </c>
      <c r="E87" s="599">
        <f t="shared" si="9"/>
        <v>-1.4012776437666808E-3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3.3417174207378748E-3</v>
      </c>
      <c r="D88" s="599">
        <f t="shared" si="8"/>
        <v>3.8015425958578242E-3</v>
      </c>
      <c r="E88" s="599">
        <f t="shared" si="9"/>
        <v>4.5982517511994943E-4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2.8260697389447622E-3</v>
      </c>
      <c r="D89" s="599">
        <f t="shared" si="8"/>
        <v>3.6055876810422629E-3</v>
      </c>
      <c r="E89" s="599">
        <f t="shared" si="9"/>
        <v>7.7951794209750068E-4</v>
      </c>
    </row>
    <row r="90" spans="1:5" s="421" customFormat="1" x14ac:dyDescent="0.2">
      <c r="A90" s="588"/>
      <c r="B90" s="592" t="s">
        <v>797</v>
      </c>
      <c r="C90" s="600">
        <f>SUM(C84+C85+C88)</f>
        <v>0.24958391796506105</v>
      </c>
      <c r="D90" s="600">
        <f>SUM(D84+D85+D88)</f>
        <v>0.23081770463017101</v>
      </c>
      <c r="E90" s="601">
        <f t="shared" si="9"/>
        <v>-1.8766213334890036E-2</v>
      </c>
    </row>
    <row r="91" spans="1:5" s="421" customFormat="1" x14ac:dyDescent="0.2">
      <c r="A91" s="588"/>
      <c r="B91" s="592" t="s">
        <v>798</v>
      </c>
      <c r="C91" s="600">
        <f>SUM(C83+C90)</f>
        <v>0.33673692881887618</v>
      </c>
      <c r="D91" s="600">
        <f>SUM(D83+D90)</f>
        <v>0.31310388573538228</v>
      </c>
      <c r="E91" s="601">
        <f t="shared" si="9"/>
        <v>-2.3633043083493899E-2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0.26380671684818413</v>
      </c>
      <c r="D95" s="599">
        <f t="shared" si="10"/>
        <v>0.26844970293113923</v>
      </c>
      <c r="E95" s="599">
        <f t="shared" ref="E95:E103" si="11">D95-C95</f>
        <v>4.6429860829551028E-3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0.22991600146799265</v>
      </c>
      <c r="D96" s="599">
        <f t="shared" si="10"/>
        <v>0.24518259142908555</v>
      </c>
      <c r="E96" s="599">
        <f t="shared" si="11"/>
        <v>1.5266589961092897E-2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0.15793172643756923</v>
      </c>
      <c r="D97" s="599">
        <f t="shared" si="10"/>
        <v>0.16161331312613114</v>
      </c>
      <c r="E97" s="599">
        <f t="shared" si="11"/>
        <v>3.6815866885619164E-3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0.15392924551664447</v>
      </c>
      <c r="D98" s="599">
        <f t="shared" si="10"/>
        <v>0.1570156994084328</v>
      </c>
      <c r="E98" s="599">
        <f t="shared" si="11"/>
        <v>3.0864538917883266E-3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4.0024809209247532E-3</v>
      </c>
      <c r="D99" s="599">
        <f t="shared" si="10"/>
        <v>4.5976137176983421E-3</v>
      </c>
      <c r="E99" s="599">
        <f t="shared" si="11"/>
        <v>5.951327967735889E-4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1.1608626427377823E-2</v>
      </c>
      <c r="D100" s="599">
        <f t="shared" si="10"/>
        <v>1.1650506778261816E-2</v>
      </c>
      <c r="E100" s="599">
        <f t="shared" si="11"/>
        <v>4.1880350883993084E-5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1.2008038481872374E-2</v>
      </c>
      <c r="D101" s="599">
        <f t="shared" si="10"/>
        <v>1.3327118163830842E-2</v>
      </c>
      <c r="E101" s="599">
        <f t="shared" si="11"/>
        <v>1.3190796819584679E-3</v>
      </c>
    </row>
    <row r="102" spans="1:5" s="421" customFormat="1" x14ac:dyDescent="0.2">
      <c r="A102" s="588"/>
      <c r="B102" s="592" t="s">
        <v>800</v>
      </c>
      <c r="C102" s="600">
        <f>SUM(C96+C97+C100)</f>
        <v>0.39945635433293969</v>
      </c>
      <c r="D102" s="600">
        <f>SUM(D96+D97+D100)</f>
        <v>0.41844641133347849</v>
      </c>
      <c r="E102" s="601">
        <f t="shared" si="11"/>
        <v>1.8990057000538796E-2</v>
      </c>
    </row>
    <row r="103" spans="1:5" s="421" customFormat="1" x14ac:dyDescent="0.2">
      <c r="A103" s="588"/>
      <c r="B103" s="592" t="s">
        <v>801</v>
      </c>
      <c r="C103" s="600">
        <f>SUM(C95+C102)</f>
        <v>0.66326307118112382</v>
      </c>
      <c r="D103" s="600">
        <f>SUM(D95+D102)</f>
        <v>0.68689611426461772</v>
      </c>
      <c r="E103" s="601">
        <f t="shared" si="11"/>
        <v>2.3633043083493899E-2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0.16179849791930559</v>
      </c>
      <c r="D109" s="599">
        <f t="shared" si="12"/>
        <v>0.16058711106710874</v>
      </c>
      <c r="E109" s="599">
        <f t="shared" ref="E109:E117" si="13">D109-C109</f>
        <v>-1.2113868521968496E-3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0.20058636916796174</v>
      </c>
      <c r="D110" s="599">
        <f t="shared" si="12"/>
        <v>0.18346093730868362</v>
      </c>
      <c r="E110" s="599">
        <f t="shared" si="13"/>
        <v>-1.7125431859278117E-2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4.722761599711911E-2</v>
      </c>
      <c r="D111" s="599">
        <f t="shared" si="12"/>
        <v>4.568167128149999E-2</v>
      </c>
      <c r="E111" s="599">
        <f t="shared" si="13"/>
        <v>-1.54594471561912E-3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4.5323469480308222E-2</v>
      </c>
      <c r="D112" s="599">
        <f t="shared" si="12"/>
        <v>4.4247159362587274E-2</v>
      </c>
      <c r="E112" s="599">
        <f t="shared" si="13"/>
        <v>-1.076310117720948E-3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1.9041465168108873E-3</v>
      </c>
      <c r="D113" s="599">
        <f t="shared" si="12"/>
        <v>1.4345119189127175E-3</v>
      </c>
      <c r="E113" s="599">
        <f t="shared" si="13"/>
        <v>-4.696345978981698E-4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3.1907301788738642E-3</v>
      </c>
      <c r="D114" s="599">
        <f t="shared" si="12"/>
        <v>3.8415714747941981E-3</v>
      </c>
      <c r="E114" s="599">
        <f t="shared" si="13"/>
        <v>6.508412959203339E-4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1.2288417980974211E-3</v>
      </c>
      <c r="D115" s="599">
        <f t="shared" si="12"/>
        <v>1.7704993058967409E-3</v>
      </c>
      <c r="E115" s="599">
        <f t="shared" si="13"/>
        <v>5.4165750779931981E-4</v>
      </c>
    </row>
    <row r="116" spans="1:5" s="421" customFormat="1" x14ac:dyDescent="0.2">
      <c r="A116" s="588"/>
      <c r="B116" s="592" t="s">
        <v>797</v>
      </c>
      <c r="C116" s="600">
        <f>SUM(C110+C111+C114)</f>
        <v>0.25100471534395474</v>
      </c>
      <c r="D116" s="600">
        <f>SUM(D110+D111+D114)</f>
        <v>0.23298418006497781</v>
      </c>
      <c r="E116" s="601">
        <f t="shared" si="13"/>
        <v>-1.8020535278976929E-2</v>
      </c>
    </row>
    <row r="117" spans="1:5" s="421" customFormat="1" x14ac:dyDescent="0.2">
      <c r="A117" s="588"/>
      <c r="B117" s="592" t="s">
        <v>798</v>
      </c>
      <c r="C117" s="600">
        <f>SUM(C109+C116)</f>
        <v>0.4128032132632603</v>
      </c>
      <c r="D117" s="600">
        <f>SUM(D109+D116)</f>
        <v>0.39357129113208655</v>
      </c>
      <c r="E117" s="601">
        <f t="shared" si="13"/>
        <v>-1.9231922131173751E-2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0.38167333986705043</v>
      </c>
      <c r="D121" s="599">
        <f t="shared" si="14"/>
        <v>0.38299523663787111</v>
      </c>
      <c r="E121" s="599">
        <f t="shared" ref="E121:E129" si="15">D121-C121</f>
        <v>1.3218967708206741E-3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0.12982121344992348</v>
      </c>
      <c r="D122" s="599">
        <f t="shared" si="14"/>
        <v>0.1372112371313608</v>
      </c>
      <c r="E122" s="599">
        <f t="shared" si="15"/>
        <v>7.3900236814373188E-3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6.7922858986853796E-2</v>
      </c>
      <c r="D123" s="599">
        <f t="shared" si="14"/>
        <v>7.9128490556003905E-2</v>
      </c>
      <c r="E123" s="599">
        <f t="shared" si="15"/>
        <v>1.120563156915011E-2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6.5442578256483266E-2</v>
      </c>
      <c r="D124" s="599">
        <f t="shared" si="14"/>
        <v>7.6415502177710412E-2</v>
      </c>
      <c r="E124" s="599">
        <f t="shared" si="15"/>
        <v>1.0972923921227146E-2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2.4802807303705263E-3</v>
      </c>
      <c r="D125" s="599">
        <f t="shared" si="14"/>
        <v>2.7129883782934967E-3</v>
      </c>
      <c r="E125" s="599">
        <f t="shared" si="15"/>
        <v>2.3270764792297045E-4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7.7793744329119723E-3</v>
      </c>
      <c r="D126" s="599">
        <f t="shared" si="14"/>
        <v>7.0937445426776189E-3</v>
      </c>
      <c r="E126" s="599">
        <f t="shared" si="15"/>
        <v>-6.8562989023435335E-4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4.8260439539712253E-3</v>
      </c>
      <c r="D127" s="599">
        <f t="shared" si="14"/>
        <v>4.6445243826712711E-3</v>
      </c>
      <c r="E127" s="599">
        <f t="shared" si="15"/>
        <v>-1.8151957129995417E-4</v>
      </c>
    </row>
    <row r="128" spans="1:5" s="421" customFormat="1" x14ac:dyDescent="0.2">
      <c r="A128" s="588"/>
      <c r="B128" s="592" t="s">
        <v>800</v>
      </c>
      <c r="C128" s="600">
        <f>SUM(C122+C123+C126)</f>
        <v>0.20552344686968924</v>
      </c>
      <c r="D128" s="600">
        <f>SUM(D122+D123+D126)</f>
        <v>0.22343347223004231</v>
      </c>
      <c r="E128" s="601">
        <f t="shared" si="15"/>
        <v>1.7910025360353077E-2</v>
      </c>
    </row>
    <row r="129" spans="1:5" s="421" customFormat="1" x14ac:dyDescent="0.2">
      <c r="A129" s="588"/>
      <c r="B129" s="592" t="s">
        <v>801</v>
      </c>
      <c r="C129" s="600">
        <f>SUM(C121+C128)</f>
        <v>0.5871967867367397</v>
      </c>
      <c r="D129" s="600">
        <f>SUM(D121+D128)</f>
        <v>0.60642870886791345</v>
      </c>
      <c r="E129" s="601">
        <f t="shared" si="15"/>
        <v>1.9231922131173751E-2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2940</v>
      </c>
      <c r="D137" s="606">
        <v>2967</v>
      </c>
      <c r="E137" s="607">
        <f t="shared" ref="E137:E145" si="16">D137-C137</f>
        <v>27</v>
      </c>
    </row>
    <row r="138" spans="1:5" s="421" customFormat="1" x14ac:dyDescent="0.2">
      <c r="A138" s="588">
        <v>2</v>
      </c>
      <c r="B138" s="587" t="s">
        <v>636</v>
      </c>
      <c r="C138" s="606">
        <v>5025</v>
      </c>
      <c r="D138" s="606">
        <v>4773</v>
      </c>
      <c r="E138" s="607">
        <f t="shared" si="16"/>
        <v>-252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2626</v>
      </c>
      <c r="D139" s="606">
        <f>D140+D141</f>
        <v>2628</v>
      </c>
      <c r="E139" s="607">
        <f t="shared" si="16"/>
        <v>2</v>
      </c>
    </row>
    <row r="140" spans="1:5" s="421" customFormat="1" x14ac:dyDescent="0.2">
      <c r="A140" s="588">
        <v>4</v>
      </c>
      <c r="B140" s="587" t="s">
        <v>115</v>
      </c>
      <c r="C140" s="606">
        <v>2528</v>
      </c>
      <c r="D140" s="606">
        <v>2568</v>
      </c>
      <c r="E140" s="607">
        <f t="shared" si="16"/>
        <v>40</v>
      </c>
    </row>
    <row r="141" spans="1:5" s="421" customFormat="1" x14ac:dyDescent="0.2">
      <c r="A141" s="588">
        <v>5</v>
      </c>
      <c r="B141" s="587" t="s">
        <v>744</v>
      </c>
      <c r="C141" s="606">
        <v>98</v>
      </c>
      <c r="D141" s="606">
        <v>60</v>
      </c>
      <c r="E141" s="607">
        <f t="shared" si="16"/>
        <v>-38</v>
      </c>
    </row>
    <row r="142" spans="1:5" s="421" customFormat="1" x14ac:dyDescent="0.2">
      <c r="A142" s="588">
        <v>6</v>
      </c>
      <c r="B142" s="587" t="s">
        <v>424</v>
      </c>
      <c r="C142" s="606">
        <v>212</v>
      </c>
      <c r="D142" s="606">
        <v>239</v>
      </c>
      <c r="E142" s="607">
        <f t="shared" si="16"/>
        <v>27</v>
      </c>
    </row>
    <row r="143" spans="1:5" s="421" customFormat="1" x14ac:dyDescent="0.2">
      <c r="A143" s="588">
        <v>7</v>
      </c>
      <c r="B143" s="587" t="s">
        <v>759</v>
      </c>
      <c r="C143" s="606">
        <v>89</v>
      </c>
      <c r="D143" s="606">
        <v>112</v>
      </c>
      <c r="E143" s="607">
        <f t="shared" si="16"/>
        <v>23</v>
      </c>
    </row>
    <row r="144" spans="1:5" s="421" customFormat="1" x14ac:dyDescent="0.2">
      <c r="A144" s="588"/>
      <c r="B144" s="592" t="s">
        <v>808</v>
      </c>
      <c r="C144" s="608">
        <f>SUM(C138+C139+C142)</f>
        <v>7863</v>
      </c>
      <c r="D144" s="608">
        <f>SUM(D138+D139+D142)</f>
        <v>7640</v>
      </c>
      <c r="E144" s="609">
        <f t="shared" si="16"/>
        <v>-223</v>
      </c>
    </row>
    <row r="145" spans="1:5" s="421" customFormat="1" x14ac:dyDescent="0.2">
      <c r="A145" s="588"/>
      <c r="B145" s="592" t="s">
        <v>138</v>
      </c>
      <c r="C145" s="608">
        <f>SUM(C137+C144)</f>
        <v>10803</v>
      </c>
      <c r="D145" s="608">
        <f>SUM(D137+D144)</f>
        <v>10607</v>
      </c>
      <c r="E145" s="609">
        <f t="shared" si="16"/>
        <v>-196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10893</v>
      </c>
      <c r="D149" s="610">
        <v>10571</v>
      </c>
      <c r="E149" s="607">
        <f t="shared" ref="E149:E157" si="17">D149-C149</f>
        <v>-322</v>
      </c>
    </row>
    <row r="150" spans="1:5" s="421" customFormat="1" x14ac:dyDescent="0.2">
      <c r="A150" s="588">
        <v>2</v>
      </c>
      <c r="B150" s="587" t="s">
        <v>636</v>
      </c>
      <c r="C150" s="610">
        <v>26068</v>
      </c>
      <c r="D150" s="610">
        <v>24390</v>
      </c>
      <c r="E150" s="607">
        <f t="shared" si="17"/>
        <v>-1678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10419</v>
      </c>
      <c r="D151" s="610">
        <f>D152+D153</f>
        <v>10984</v>
      </c>
      <c r="E151" s="607">
        <f t="shared" si="17"/>
        <v>565</v>
      </c>
    </row>
    <row r="152" spans="1:5" s="421" customFormat="1" x14ac:dyDescent="0.2">
      <c r="A152" s="588">
        <v>4</v>
      </c>
      <c r="B152" s="587" t="s">
        <v>115</v>
      </c>
      <c r="C152" s="610">
        <v>9794</v>
      </c>
      <c r="D152" s="610">
        <v>10694</v>
      </c>
      <c r="E152" s="607">
        <f t="shared" si="17"/>
        <v>900</v>
      </c>
    </row>
    <row r="153" spans="1:5" s="421" customFormat="1" x14ac:dyDescent="0.2">
      <c r="A153" s="588">
        <v>5</v>
      </c>
      <c r="B153" s="587" t="s">
        <v>744</v>
      </c>
      <c r="C153" s="611">
        <v>625</v>
      </c>
      <c r="D153" s="610">
        <v>290</v>
      </c>
      <c r="E153" s="607">
        <f t="shared" si="17"/>
        <v>-335</v>
      </c>
    </row>
    <row r="154" spans="1:5" s="421" customFormat="1" x14ac:dyDescent="0.2">
      <c r="A154" s="588">
        <v>6</v>
      </c>
      <c r="B154" s="587" t="s">
        <v>424</v>
      </c>
      <c r="C154" s="610">
        <v>539</v>
      </c>
      <c r="D154" s="610">
        <v>610</v>
      </c>
      <c r="E154" s="607">
        <f t="shared" si="17"/>
        <v>71</v>
      </c>
    </row>
    <row r="155" spans="1:5" s="421" customFormat="1" x14ac:dyDescent="0.2">
      <c r="A155" s="588">
        <v>7</v>
      </c>
      <c r="B155" s="587" t="s">
        <v>759</v>
      </c>
      <c r="C155" s="610">
        <v>459</v>
      </c>
      <c r="D155" s="610">
        <v>528</v>
      </c>
      <c r="E155" s="607">
        <f t="shared" si="17"/>
        <v>69</v>
      </c>
    </row>
    <row r="156" spans="1:5" s="421" customFormat="1" x14ac:dyDescent="0.2">
      <c r="A156" s="588"/>
      <c r="B156" s="592" t="s">
        <v>809</v>
      </c>
      <c r="C156" s="608">
        <f>SUM(C150+C151+C154)</f>
        <v>37026</v>
      </c>
      <c r="D156" s="608">
        <f>SUM(D150+D151+D154)</f>
        <v>35984</v>
      </c>
      <c r="E156" s="609">
        <f t="shared" si="17"/>
        <v>-1042</v>
      </c>
    </row>
    <row r="157" spans="1:5" s="421" customFormat="1" x14ac:dyDescent="0.2">
      <c r="A157" s="588"/>
      <c r="B157" s="592" t="s">
        <v>140</v>
      </c>
      <c r="C157" s="608">
        <f>SUM(C149+C156)</f>
        <v>47919</v>
      </c>
      <c r="D157" s="608">
        <f>SUM(D149+D156)</f>
        <v>46555</v>
      </c>
      <c r="E157" s="609">
        <f t="shared" si="17"/>
        <v>-1364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3.7051020408163264</v>
      </c>
      <c r="D161" s="612">
        <f t="shared" si="18"/>
        <v>3.5628581058308053</v>
      </c>
      <c r="E161" s="613">
        <f t="shared" ref="E161:E169" si="19">D161-C161</f>
        <v>-0.14224393498552113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5.1876616915422886</v>
      </c>
      <c r="D162" s="612">
        <f t="shared" si="18"/>
        <v>5.1099937146448777</v>
      </c>
      <c r="E162" s="613">
        <f t="shared" si="19"/>
        <v>-7.7667976897410895E-2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3.9676313785224675</v>
      </c>
      <c r="D163" s="612">
        <f t="shared" si="18"/>
        <v>4.1796042617960429</v>
      </c>
      <c r="E163" s="613">
        <f t="shared" si="19"/>
        <v>0.21197288327357544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3.8742088607594938</v>
      </c>
      <c r="D164" s="612">
        <f t="shared" si="18"/>
        <v>4.1643302180685362</v>
      </c>
      <c r="E164" s="613">
        <f t="shared" si="19"/>
        <v>0.29012135730904243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6.3775510204081636</v>
      </c>
      <c r="D165" s="612">
        <f t="shared" si="18"/>
        <v>4.833333333333333</v>
      </c>
      <c r="E165" s="613">
        <f t="shared" si="19"/>
        <v>-1.5442176870748305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2.5424528301886791</v>
      </c>
      <c r="D166" s="612">
        <f t="shared" si="18"/>
        <v>2.5523012552301254</v>
      </c>
      <c r="E166" s="613">
        <f t="shared" si="19"/>
        <v>9.8484250414463403E-3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5.1573033707865168</v>
      </c>
      <c r="D167" s="612">
        <f t="shared" si="18"/>
        <v>4.7142857142857144</v>
      </c>
      <c r="E167" s="613">
        <f t="shared" si="19"/>
        <v>-0.44301765650080238</v>
      </c>
    </row>
    <row r="168" spans="1:5" s="421" customFormat="1" x14ac:dyDescent="0.2">
      <c r="A168" s="588"/>
      <c r="B168" s="592" t="s">
        <v>811</v>
      </c>
      <c r="C168" s="614">
        <f t="shared" si="18"/>
        <v>4.7088897367417015</v>
      </c>
      <c r="D168" s="614">
        <f t="shared" si="18"/>
        <v>4.7099476439790573</v>
      </c>
      <c r="E168" s="615">
        <f t="shared" si="19"/>
        <v>1.0579072373557707E-3</v>
      </c>
    </row>
    <row r="169" spans="1:5" s="421" customFormat="1" x14ac:dyDescent="0.2">
      <c r="A169" s="588"/>
      <c r="B169" s="592" t="s">
        <v>745</v>
      </c>
      <c r="C169" s="614">
        <f t="shared" si="18"/>
        <v>4.4357123021382945</v>
      </c>
      <c r="D169" s="614">
        <f t="shared" si="18"/>
        <v>4.3890826812482322</v>
      </c>
      <c r="E169" s="615">
        <f t="shared" si="19"/>
        <v>-4.6629620890062284E-2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1.3261000000000001</v>
      </c>
      <c r="D173" s="617">
        <f t="shared" si="20"/>
        <v>1.3725000000000001</v>
      </c>
      <c r="E173" s="618">
        <f t="shared" ref="E173:E181" si="21">D173-C173</f>
        <v>4.6399999999999997E-2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1.5431999999999999</v>
      </c>
      <c r="D174" s="617">
        <f t="shared" si="20"/>
        <v>1.5696000000000001</v>
      </c>
      <c r="E174" s="618">
        <f t="shared" si="21"/>
        <v>2.6400000000000201E-2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1.0766127951256665</v>
      </c>
      <c r="D175" s="617">
        <f t="shared" si="20"/>
        <v>1.0853337899543378</v>
      </c>
      <c r="E175" s="618">
        <f t="shared" si="21"/>
        <v>8.7209948286712802E-3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1.0661</v>
      </c>
      <c r="D176" s="617">
        <f t="shared" si="20"/>
        <v>1.0773999999999999</v>
      </c>
      <c r="E176" s="618">
        <f t="shared" si="21"/>
        <v>1.1299999999999866E-2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1.3478000000000001</v>
      </c>
      <c r="D177" s="617">
        <f t="shared" si="20"/>
        <v>1.4249000000000001</v>
      </c>
      <c r="E177" s="618">
        <f t="shared" si="21"/>
        <v>7.7099999999999946E-2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0.63119999999999998</v>
      </c>
      <c r="D178" s="617">
        <f t="shared" si="20"/>
        <v>0.66520000000000001</v>
      </c>
      <c r="E178" s="618">
        <f t="shared" si="21"/>
        <v>3.400000000000003E-2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1.0854999999999999</v>
      </c>
      <c r="D179" s="617">
        <f t="shared" si="20"/>
        <v>1.2406999999999999</v>
      </c>
      <c r="E179" s="618">
        <f t="shared" si="21"/>
        <v>0.1552</v>
      </c>
    </row>
    <row r="180" spans="1:5" s="421" customFormat="1" x14ac:dyDescent="0.2">
      <c r="A180" s="588"/>
      <c r="B180" s="592" t="s">
        <v>813</v>
      </c>
      <c r="C180" s="619">
        <f t="shared" si="20"/>
        <v>1.3627851456187206</v>
      </c>
      <c r="D180" s="619">
        <f t="shared" si="20"/>
        <v>1.3747304712041886</v>
      </c>
      <c r="E180" s="620">
        <f t="shared" si="21"/>
        <v>1.1945325585468014E-2</v>
      </c>
    </row>
    <row r="181" spans="1:5" s="421" customFormat="1" x14ac:dyDescent="0.2">
      <c r="A181" s="588"/>
      <c r="B181" s="592" t="s">
        <v>724</v>
      </c>
      <c r="C181" s="619">
        <f t="shared" si="20"/>
        <v>1.3528014070165695</v>
      </c>
      <c r="D181" s="619">
        <f t="shared" si="20"/>
        <v>1.3741065617045347</v>
      </c>
      <c r="E181" s="620">
        <f t="shared" si="21"/>
        <v>2.1305154687965233E-2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236897234</v>
      </c>
      <c r="D185" s="589">
        <v>254229941</v>
      </c>
      <c r="E185" s="590">
        <f>D185-C185</f>
        <v>17332707</v>
      </c>
    </row>
    <row r="186" spans="1:5" s="421" customFormat="1" ht="25.5" x14ac:dyDescent="0.2">
      <c r="A186" s="588">
        <v>2</v>
      </c>
      <c r="B186" s="587" t="s">
        <v>816</v>
      </c>
      <c r="C186" s="589">
        <v>157937775</v>
      </c>
      <c r="D186" s="589">
        <v>166056173</v>
      </c>
      <c r="E186" s="590">
        <f>D186-C186</f>
        <v>8118398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78959459</v>
      </c>
      <c r="D188" s="622">
        <f>+D185-D186</f>
        <v>88173768</v>
      </c>
      <c r="E188" s="590">
        <f t="shared" ref="E188:E197" si="22">D188-C188</f>
        <v>9214309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0.33330680002789731</v>
      </c>
      <c r="D189" s="623">
        <f>IF(D185=0,0,+D188/D185)</f>
        <v>0.34682684365646765</v>
      </c>
      <c r="E189" s="599">
        <f t="shared" si="22"/>
        <v>1.3520043628570344E-2</v>
      </c>
    </row>
    <row r="190" spans="1:5" s="421" customFormat="1" x14ac:dyDescent="0.2">
      <c r="A190" s="588">
        <v>5</v>
      </c>
      <c r="B190" s="587" t="s">
        <v>763</v>
      </c>
      <c r="C190" s="589">
        <v>9607784</v>
      </c>
      <c r="D190" s="589">
        <v>0</v>
      </c>
      <c r="E190" s="622">
        <f t="shared" si="22"/>
        <v>-9607784</v>
      </c>
    </row>
    <row r="191" spans="1:5" s="421" customFormat="1" x14ac:dyDescent="0.2">
      <c r="A191" s="588">
        <v>6</v>
      </c>
      <c r="B191" s="587" t="s">
        <v>749</v>
      </c>
      <c r="C191" s="589">
        <v>6335217</v>
      </c>
      <c r="D191" s="589">
        <v>0</v>
      </c>
      <c r="E191" s="622">
        <f t="shared" si="22"/>
        <v>-6335217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4033618</v>
      </c>
      <c r="D193" s="589">
        <v>4292994</v>
      </c>
      <c r="E193" s="622">
        <f t="shared" si="22"/>
        <v>259376</v>
      </c>
    </row>
    <row r="194" spans="1:5" s="421" customFormat="1" x14ac:dyDescent="0.2">
      <c r="A194" s="588">
        <v>9</v>
      </c>
      <c r="B194" s="587" t="s">
        <v>819</v>
      </c>
      <c r="C194" s="589">
        <v>8681323</v>
      </c>
      <c r="D194" s="589">
        <v>8369786</v>
      </c>
      <c r="E194" s="622">
        <f t="shared" si="22"/>
        <v>-311537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12714941</v>
      </c>
      <c r="D195" s="589">
        <f>+D193+D194</f>
        <v>12662780</v>
      </c>
      <c r="E195" s="625">
        <f t="shared" si="22"/>
        <v>-52161</v>
      </c>
    </row>
    <row r="196" spans="1:5" s="421" customFormat="1" x14ac:dyDescent="0.2">
      <c r="A196" s="588">
        <v>11</v>
      </c>
      <c r="B196" s="587" t="s">
        <v>821</v>
      </c>
      <c r="C196" s="589">
        <v>6576794</v>
      </c>
      <c r="D196" s="589">
        <v>5244953</v>
      </c>
      <c r="E196" s="622">
        <f t="shared" si="22"/>
        <v>-1331841</v>
      </c>
    </row>
    <row r="197" spans="1:5" s="421" customFormat="1" x14ac:dyDescent="0.2">
      <c r="A197" s="588">
        <v>12</v>
      </c>
      <c r="B197" s="587" t="s">
        <v>711</v>
      </c>
      <c r="C197" s="589">
        <v>251154393</v>
      </c>
      <c r="D197" s="589">
        <v>268857395</v>
      </c>
      <c r="E197" s="622">
        <f t="shared" si="22"/>
        <v>17703002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3898.7340000000004</v>
      </c>
      <c r="D203" s="629">
        <v>4072.2075</v>
      </c>
      <c r="E203" s="630">
        <f t="shared" ref="E203:E211" si="23">D203-C203</f>
        <v>173.4734999999996</v>
      </c>
    </row>
    <row r="204" spans="1:5" s="421" customFormat="1" x14ac:dyDescent="0.2">
      <c r="A204" s="588">
        <v>2</v>
      </c>
      <c r="B204" s="587" t="s">
        <v>636</v>
      </c>
      <c r="C204" s="629">
        <v>7754.58</v>
      </c>
      <c r="D204" s="629">
        <v>7491.7008000000005</v>
      </c>
      <c r="E204" s="630">
        <f t="shared" si="23"/>
        <v>-262.8791999999994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2827.1852000000003</v>
      </c>
      <c r="D205" s="629">
        <f>D206+D207</f>
        <v>2852.2572</v>
      </c>
      <c r="E205" s="630">
        <f t="shared" si="23"/>
        <v>25.071999999999662</v>
      </c>
    </row>
    <row r="206" spans="1:5" s="421" customFormat="1" x14ac:dyDescent="0.2">
      <c r="A206" s="588">
        <v>4</v>
      </c>
      <c r="B206" s="587" t="s">
        <v>115</v>
      </c>
      <c r="C206" s="629">
        <v>2695.1008000000002</v>
      </c>
      <c r="D206" s="629">
        <v>2766.7631999999999</v>
      </c>
      <c r="E206" s="630">
        <f t="shared" si="23"/>
        <v>71.662399999999707</v>
      </c>
    </row>
    <row r="207" spans="1:5" s="421" customFormat="1" x14ac:dyDescent="0.2">
      <c r="A207" s="588">
        <v>5</v>
      </c>
      <c r="B207" s="587" t="s">
        <v>744</v>
      </c>
      <c r="C207" s="629">
        <v>132.08440000000002</v>
      </c>
      <c r="D207" s="629">
        <v>85.494</v>
      </c>
      <c r="E207" s="630">
        <f t="shared" si="23"/>
        <v>-46.590400000000017</v>
      </c>
    </row>
    <row r="208" spans="1:5" s="421" customFormat="1" x14ac:dyDescent="0.2">
      <c r="A208" s="588">
        <v>6</v>
      </c>
      <c r="B208" s="587" t="s">
        <v>424</v>
      </c>
      <c r="C208" s="629">
        <v>133.81440000000001</v>
      </c>
      <c r="D208" s="629">
        <v>158.9828</v>
      </c>
      <c r="E208" s="630">
        <f t="shared" si="23"/>
        <v>25.168399999999991</v>
      </c>
    </row>
    <row r="209" spans="1:5" s="421" customFormat="1" x14ac:dyDescent="0.2">
      <c r="A209" s="588">
        <v>7</v>
      </c>
      <c r="B209" s="587" t="s">
        <v>759</v>
      </c>
      <c r="C209" s="629">
        <v>96.609499999999997</v>
      </c>
      <c r="D209" s="629">
        <v>138.95839999999998</v>
      </c>
      <c r="E209" s="630">
        <f t="shared" si="23"/>
        <v>42.348899999999986</v>
      </c>
    </row>
    <row r="210" spans="1:5" s="421" customFormat="1" x14ac:dyDescent="0.2">
      <c r="A210" s="588"/>
      <c r="B210" s="592" t="s">
        <v>824</v>
      </c>
      <c r="C210" s="631">
        <f>C204+C205+C208</f>
        <v>10715.579599999999</v>
      </c>
      <c r="D210" s="631">
        <f>D204+D205+D208</f>
        <v>10502.9408</v>
      </c>
      <c r="E210" s="632">
        <f t="shared" si="23"/>
        <v>-212.63879999999881</v>
      </c>
    </row>
    <row r="211" spans="1:5" s="421" customFormat="1" x14ac:dyDescent="0.2">
      <c r="A211" s="588"/>
      <c r="B211" s="592" t="s">
        <v>725</v>
      </c>
      <c r="C211" s="631">
        <f>C210+C203</f>
        <v>14614.313599999999</v>
      </c>
      <c r="D211" s="631">
        <f>D210+D203</f>
        <v>14575.148300000001</v>
      </c>
      <c r="E211" s="632">
        <f t="shared" si="23"/>
        <v>-39.165299999998751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8899.1962519182398</v>
      </c>
      <c r="D215" s="633">
        <f>IF(D14*D137=0,0,D25/D14*D137)</f>
        <v>9679.5143230464928</v>
      </c>
      <c r="E215" s="633">
        <f t="shared" ref="E215:E223" si="24">D215-C215</f>
        <v>780.318071128253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6326.5147185251644</v>
      </c>
      <c r="D216" s="633">
        <f>IF(D15*D138=0,0,D26/D15*D138)</f>
        <v>7099.0416721255951</v>
      </c>
      <c r="E216" s="633">
        <f t="shared" si="24"/>
        <v>772.52695360043072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6556.9515789880043</v>
      </c>
      <c r="D217" s="633">
        <f>D218+D219</f>
        <v>6830.6725283338092</v>
      </c>
      <c r="E217" s="633">
        <f t="shared" si="24"/>
        <v>273.72094934580491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6431.1431030530348</v>
      </c>
      <c r="D218" s="633">
        <f t="shared" si="25"/>
        <v>6669.963836372759</v>
      </c>
      <c r="E218" s="633">
        <f t="shared" si="24"/>
        <v>238.82073331972424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125.80847593496965</v>
      </c>
      <c r="D219" s="633">
        <f t="shared" si="25"/>
        <v>160.70869196104985</v>
      </c>
      <c r="E219" s="633">
        <f t="shared" si="24"/>
        <v>34.900216026080201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736.45628661824014</v>
      </c>
      <c r="D220" s="633">
        <f t="shared" si="25"/>
        <v>732.45821920778803</v>
      </c>
      <c r="E220" s="633">
        <f t="shared" si="24"/>
        <v>-3.9980674104521086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378.16314656328808</v>
      </c>
      <c r="D221" s="633">
        <f t="shared" si="25"/>
        <v>413.97890341071377</v>
      </c>
      <c r="E221" s="633">
        <f t="shared" si="24"/>
        <v>35.815756847425689</v>
      </c>
    </row>
    <row r="222" spans="1:5" s="421" customFormat="1" x14ac:dyDescent="0.2">
      <c r="A222" s="588"/>
      <c r="B222" s="592" t="s">
        <v>826</v>
      </c>
      <c r="C222" s="634">
        <f>C216+C218+C219+C220</f>
        <v>13619.922584131409</v>
      </c>
      <c r="D222" s="634">
        <f>D216+D218+D219+D220</f>
        <v>14662.172419667193</v>
      </c>
      <c r="E222" s="634">
        <f t="shared" si="24"/>
        <v>1042.2498355357839</v>
      </c>
    </row>
    <row r="223" spans="1:5" s="421" customFormat="1" x14ac:dyDescent="0.2">
      <c r="A223" s="588"/>
      <c r="B223" s="592" t="s">
        <v>827</v>
      </c>
      <c r="C223" s="634">
        <f>C215+C222</f>
        <v>22519.118836049649</v>
      </c>
      <c r="D223" s="634">
        <f>D215+D222</f>
        <v>24341.686742713686</v>
      </c>
      <c r="E223" s="634">
        <f t="shared" si="24"/>
        <v>1822.5679066640369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12310.246095270924</v>
      </c>
      <c r="D227" s="636">
        <f t="shared" si="26"/>
        <v>12340.067150310981</v>
      </c>
      <c r="E227" s="636">
        <f t="shared" ref="E227:E235" si="27">D227-C227</f>
        <v>29.821055040056308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7672.8903435131242</v>
      </c>
      <c r="D228" s="636">
        <f t="shared" si="26"/>
        <v>7663.0193239964947</v>
      </c>
      <c r="E228" s="636">
        <f t="shared" si="27"/>
        <v>-9.8710195166295307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4955.1592870534259</v>
      </c>
      <c r="D229" s="636">
        <f t="shared" si="26"/>
        <v>5011.7573548416322</v>
      </c>
      <c r="E229" s="636">
        <f t="shared" si="27"/>
        <v>56.598067788206208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4988.4312304756832</v>
      </c>
      <c r="D230" s="636">
        <f t="shared" si="26"/>
        <v>5004.3784014475832</v>
      </c>
      <c r="E230" s="636">
        <f t="shared" si="27"/>
        <v>15.94717097190005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4276.2657815760222</v>
      </c>
      <c r="D231" s="636">
        <f t="shared" si="26"/>
        <v>5250.5555945446467</v>
      </c>
      <c r="E231" s="636">
        <f t="shared" si="27"/>
        <v>974.28981296862457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7072.9906497357533</v>
      </c>
      <c r="D232" s="636">
        <f t="shared" si="26"/>
        <v>7561.2833589545535</v>
      </c>
      <c r="E232" s="636">
        <f t="shared" si="27"/>
        <v>488.29270921880016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3773.0450939089842</v>
      </c>
      <c r="D233" s="636">
        <f t="shared" si="26"/>
        <v>3987.0133795438064</v>
      </c>
      <c r="E233" s="636">
        <f t="shared" si="27"/>
        <v>213.96828563482222</v>
      </c>
    </row>
    <row r="234" spans="1:5" x14ac:dyDescent="0.2">
      <c r="A234" s="588"/>
      <c r="B234" s="592" t="s">
        <v>829</v>
      </c>
      <c r="C234" s="637">
        <f t="shared" si="26"/>
        <v>6948.3561113203814</v>
      </c>
      <c r="D234" s="637">
        <f t="shared" si="26"/>
        <v>6941.4828083197417</v>
      </c>
      <c r="E234" s="637">
        <f t="shared" si="27"/>
        <v>-6.8733030006396802</v>
      </c>
    </row>
    <row r="235" spans="1:5" s="421" customFormat="1" x14ac:dyDescent="0.2">
      <c r="A235" s="588"/>
      <c r="B235" s="592" t="s">
        <v>830</v>
      </c>
      <c r="C235" s="637">
        <f t="shared" si="26"/>
        <v>8378.7744913315673</v>
      </c>
      <c r="D235" s="637">
        <f t="shared" si="26"/>
        <v>8449.814332249367</v>
      </c>
      <c r="E235" s="637">
        <f t="shared" si="27"/>
        <v>71.039840917799665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12722.044080733254</v>
      </c>
      <c r="D239" s="636">
        <f t="shared" si="28"/>
        <v>12381.593538701389</v>
      </c>
      <c r="E239" s="638">
        <f t="shared" ref="E239:E247" si="29">D239-C239</f>
        <v>-340.45054203186555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6086.9116272248548</v>
      </c>
      <c r="D240" s="636">
        <f t="shared" si="28"/>
        <v>6048.2076290086006</v>
      </c>
      <c r="E240" s="638">
        <f t="shared" si="29"/>
        <v>-38.703998216254149</v>
      </c>
    </row>
    <row r="241" spans="1:5" x14ac:dyDescent="0.2">
      <c r="A241" s="588">
        <v>3</v>
      </c>
      <c r="B241" s="587" t="s">
        <v>778</v>
      </c>
      <c r="C241" s="636">
        <f t="shared" si="28"/>
        <v>3072.7684591365596</v>
      </c>
      <c r="D241" s="636">
        <f t="shared" si="28"/>
        <v>3624.9844941754095</v>
      </c>
      <c r="E241" s="638">
        <f t="shared" si="29"/>
        <v>552.2160350388499</v>
      </c>
    </row>
    <row r="242" spans="1:5" x14ac:dyDescent="0.2">
      <c r="A242" s="588">
        <v>4</v>
      </c>
      <c r="B242" s="587" t="s">
        <v>115</v>
      </c>
      <c r="C242" s="636">
        <f t="shared" si="28"/>
        <v>3018.4784709244736</v>
      </c>
      <c r="D242" s="636">
        <f t="shared" si="28"/>
        <v>3585.0459742528119</v>
      </c>
      <c r="E242" s="638">
        <f t="shared" si="29"/>
        <v>566.56750332833826</v>
      </c>
    </row>
    <row r="243" spans="1:5" x14ac:dyDescent="0.2">
      <c r="A243" s="588">
        <v>5</v>
      </c>
      <c r="B243" s="587" t="s">
        <v>744</v>
      </c>
      <c r="C243" s="636">
        <f t="shared" si="28"/>
        <v>5847.9923115855645</v>
      </c>
      <c r="D243" s="636">
        <f t="shared" si="28"/>
        <v>5282.5705295750704</v>
      </c>
      <c r="E243" s="638">
        <f t="shared" si="29"/>
        <v>-565.4217820104941</v>
      </c>
    </row>
    <row r="244" spans="1:5" x14ac:dyDescent="0.2">
      <c r="A244" s="588">
        <v>6</v>
      </c>
      <c r="B244" s="587" t="s">
        <v>424</v>
      </c>
      <c r="C244" s="636">
        <f t="shared" si="28"/>
        <v>3133.3835312837787</v>
      </c>
      <c r="D244" s="636">
        <f t="shared" si="28"/>
        <v>3030.6056260804639</v>
      </c>
      <c r="E244" s="638">
        <f t="shared" si="29"/>
        <v>-102.77790520331473</v>
      </c>
    </row>
    <row r="245" spans="1:5" x14ac:dyDescent="0.2">
      <c r="A245" s="588">
        <v>7</v>
      </c>
      <c r="B245" s="587" t="s">
        <v>759</v>
      </c>
      <c r="C245" s="636">
        <f t="shared" si="28"/>
        <v>3785.5407461298464</v>
      </c>
      <c r="D245" s="636">
        <f t="shared" si="28"/>
        <v>3510.7489488615006</v>
      </c>
      <c r="E245" s="638">
        <f t="shared" si="29"/>
        <v>-274.79179726834582</v>
      </c>
    </row>
    <row r="246" spans="1:5" ht="25.5" x14ac:dyDescent="0.2">
      <c r="A246" s="588"/>
      <c r="B246" s="592" t="s">
        <v>832</v>
      </c>
      <c r="C246" s="637">
        <f t="shared" si="28"/>
        <v>4476.1289664766418</v>
      </c>
      <c r="D246" s="637">
        <f t="shared" si="28"/>
        <v>4768.5533902340376</v>
      </c>
      <c r="E246" s="639">
        <f t="shared" si="29"/>
        <v>292.42442375739574</v>
      </c>
    </row>
    <row r="247" spans="1:5" x14ac:dyDescent="0.2">
      <c r="A247" s="588"/>
      <c r="B247" s="592" t="s">
        <v>833</v>
      </c>
      <c r="C247" s="637">
        <f t="shared" si="28"/>
        <v>7734.7829756626088</v>
      </c>
      <c r="D247" s="637">
        <f t="shared" si="28"/>
        <v>7795.8921255448049</v>
      </c>
      <c r="E247" s="639">
        <f t="shared" si="29"/>
        <v>61.109149882196107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19733532.73032045</v>
      </c>
      <c r="D251" s="622">
        <f>((IF((IF(D15=0,0,D26/D15)*D138)=0,0,D59/(IF(D15=0,0,D26/D15)*D138)))-(IF((IF(D17=0,0,D28/D17)*D140)=0,0,D61/(IF(D17=0,0,D28/D17)*D140))))*(IF(D17=0,0,D28/D17)*D140)</f>
        <v>16429199.160361193</v>
      </c>
      <c r="E251" s="622">
        <f>D251-C251</f>
        <v>-3304333.5699592568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478699.19226073014</v>
      </c>
      <c r="D252" s="622">
        <f>IF(D231=0,0,(D228-D231)*D207)+IF(D243=0,0,(D240-D243)*D219)</f>
        <v>329295.71085257118</v>
      </c>
      <c r="E252" s="622">
        <f>D252-C252</f>
        <v>-149403.48140815896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1247055.7534456463</v>
      </c>
      <c r="D253" s="622">
        <f>IF(D233=0,0,(D228-D233)*D209+IF(D221=0,0,(D240-D245)*D221))</f>
        <v>1561266.266288928</v>
      </c>
      <c r="E253" s="622">
        <f>D253-C253</f>
        <v>314210.51284328173</v>
      </c>
    </row>
    <row r="254" spans="1:5" ht="15" customHeight="1" x14ac:dyDescent="0.2">
      <c r="A254" s="588"/>
      <c r="B254" s="592" t="s">
        <v>760</v>
      </c>
      <c r="C254" s="640">
        <f>+C251+C252+C253</f>
        <v>21459287.676026829</v>
      </c>
      <c r="D254" s="640">
        <f>+D251+D252+D253</f>
        <v>18319761.137502693</v>
      </c>
      <c r="E254" s="640">
        <f>D254-C254</f>
        <v>-3139526.5385241359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738603146</v>
      </c>
      <c r="D258" s="625">
        <f>+D44</f>
        <v>788477289</v>
      </c>
      <c r="E258" s="622">
        <f t="shared" ref="E258:E271" si="30">D258-C258</f>
        <v>49874143</v>
      </c>
    </row>
    <row r="259" spans="1:5" x14ac:dyDescent="0.2">
      <c r="A259" s="588">
        <v>2</v>
      </c>
      <c r="B259" s="587" t="s">
        <v>743</v>
      </c>
      <c r="C259" s="622">
        <f>+(C43-C76)</f>
        <v>343962994</v>
      </c>
      <c r="D259" s="625">
        <f>+(D43-D76)</f>
        <v>369106675</v>
      </c>
      <c r="E259" s="622">
        <f t="shared" si="30"/>
        <v>25143681</v>
      </c>
    </row>
    <row r="260" spans="1:5" x14ac:dyDescent="0.2">
      <c r="A260" s="588">
        <v>3</v>
      </c>
      <c r="B260" s="587" t="s">
        <v>747</v>
      </c>
      <c r="C260" s="622">
        <f>C195</f>
        <v>12714941</v>
      </c>
      <c r="D260" s="622">
        <f>D195</f>
        <v>12662780</v>
      </c>
      <c r="E260" s="622">
        <f t="shared" si="30"/>
        <v>-52161</v>
      </c>
    </row>
    <row r="261" spans="1:5" x14ac:dyDescent="0.2">
      <c r="A261" s="588">
        <v>4</v>
      </c>
      <c r="B261" s="587" t="s">
        <v>748</v>
      </c>
      <c r="C261" s="622">
        <f>C188</f>
        <v>78959459</v>
      </c>
      <c r="D261" s="622">
        <f>D188</f>
        <v>88173768</v>
      </c>
      <c r="E261" s="622">
        <f t="shared" si="30"/>
        <v>9214309</v>
      </c>
    </row>
    <row r="262" spans="1:5" x14ac:dyDescent="0.2">
      <c r="A262" s="588">
        <v>5</v>
      </c>
      <c r="B262" s="587" t="s">
        <v>749</v>
      </c>
      <c r="C262" s="622">
        <f>C191</f>
        <v>6335217</v>
      </c>
      <c r="D262" s="622">
        <f>D191</f>
        <v>0</v>
      </c>
      <c r="E262" s="622">
        <f t="shared" si="30"/>
        <v>-6335217</v>
      </c>
    </row>
    <row r="263" spans="1:5" x14ac:dyDescent="0.2">
      <c r="A263" s="588">
        <v>6</v>
      </c>
      <c r="B263" s="587" t="s">
        <v>750</v>
      </c>
      <c r="C263" s="622">
        <f>+C259+C260+C261+C262</f>
        <v>441972611</v>
      </c>
      <c r="D263" s="622">
        <f>+D259+D260+D261+D262</f>
        <v>469943223</v>
      </c>
      <c r="E263" s="622">
        <f t="shared" si="30"/>
        <v>27970612</v>
      </c>
    </row>
    <row r="264" spans="1:5" x14ac:dyDescent="0.2">
      <c r="A264" s="588">
        <v>7</v>
      </c>
      <c r="B264" s="587" t="s">
        <v>655</v>
      </c>
      <c r="C264" s="622">
        <f>+C258-C263</f>
        <v>296630535</v>
      </c>
      <c r="D264" s="622">
        <f>+D258-D263</f>
        <v>318534066</v>
      </c>
      <c r="E264" s="622">
        <f t="shared" si="30"/>
        <v>21903531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296630535</v>
      </c>
      <c r="D266" s="622">
        <f>+D264+D265</f>
        <v>318534066</v>
      </c>
      <c r="E266" s="641">
        <f t="shared" si="30"/>
        <v>21903531</v>
      </c>
    </row>
    <row r="267" spans="1:5" x14ac:dyDescent="0.2">
      <c r="A267" s="588">
        <v>10</v>
      </c>
      <c r="B267" s="587" t="s">
        <v>838</v>
      </c>
      <c r="C267" s="642">
        <f>IF(C258=0,0,C266/C258)</f>
        <v>0.40161016996263915</v>
      </c>
      <c r="D267" s="642">
        <f>IF(D258=0,0,D266/D258)</f>
        <v>0.40398635502106389</v>
      </c>
      <c r="E267" s="643">
        <f t="shared" si="30"/>
        <v>2.3761850584247401E-3</v>
      </c>
    </row>
    <row r="268" spans="1:5" x14ac:dyDescent="0.2">
      <c r="A268" s="588">
        <v>11</v>
      </c>
      <c r="B268" s="587" t="s">
        <v>717</v>
      </c>
      <c r="C268" s="622">
        <f>+C260*C267</f>
        <v>5106449.616074929</v>
      </c>
      <c r="D268" s="644">
        <f>+D260*D267</f>
        <v>5115590.3366336273</v>
      </c>
      <c r="E268" s="622">
        <f t="shared" si="30"/>
        <v>9140.7205586982891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31563460.500229955</v>
      </c>
      <c r="D269" s="644">
        <f>((D17+D18+D28+D29)*D267)-(D50+D51+D61+D62)</f>
        <v>32226403.428144425</v>
      </c>
      <c r="E269" s="622">
        <f t="shared" si="30"/>
        <v>662942.92791447043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36669910.116304882</v>
      </c>
      <c r="D271" s="622">
        <f>+D268+D269+D270</f>
        <v>37341993.764778055</v>
      </c>
      <c r="E271" s="625">
        <f t="shared" si="30"/>
        <v>672083.64847317338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0.745584364928771</v>
      </c>
      <c r="D276" s="623">
        <f t="shared" si="31"/>
        <v>0.7745176634345593</v>
      </c>
      <c r="E276" s="650">
        <f t="shared" ref="E276:E284" si="32">D276-C276</f>
        <v>2.8933298505788296E-2</v>
      </c>
    </row>
    <row r="277" spans="1:5" x14ac:dyDescent="0.2">
      <c r="A277" s="588">
        <v>2</v>
      </c>
      <c r="B277" s="587" t="s">
        <v>636</v>
      </c>
      <c r="C277" s="623">
        <f t="shared" si="31"/>
        <v>0.44112876482468699</v>
      </c>
      <c r="D277" s="623">
        <f t="shared" si="31"/>
        <v>0.44168211803943774</v>
      </c>
      <c r="E277" s="650">
        <f t="shared" si="32"/>
        <v>5.5335321475075139E-4</v>
      </c>
    </row>
    <row r="278" spans="1:5" x14ac:dyDescent="0.2">
      <c r="A278" s="588">
        <v>3</v>
      </c>
      <c r="B278" s="587" t="s">
        <v>778</v>
      </c>
      <c r="C278" s="623">
        <f t="shared" si="31"/>
        <v>0.29810566759097779</v>
      </c>
      <c r="D278" s="623">
        <f t="shared" si="31"/>
        <v>0.29161864860859238</v>
      </c>
      <c r="E278" s="650">
        <f t="shared" si="32"/>
        <v>-6.4870189823854063E-3</v>
      </c>
    </row>
    <row r="279" spans="1:5" x14ac:dyDescent="0.2">
      <c r="A279" s="588">
        <v>4</v>
      </c>
      <c r="B279" s="587" t="s">
        <v>115</v>
      </c>
      <c r="C279" s="623">
        <f t="shared" si="31"/>
        <v>0.30082769248428909</v>
      </c>
      <c r="D279" s="623">
        <f t="shared" si="31"/>
        <v>0.29048139720118521</v>
      </c>
      <c r="E279" s="650">
        <f t="shared" si="32"/>
        <v>-1.0346295283103879E-2</v>
      </c>
    </row>
    <row r="280" spans="1:5" x14ac:dyDescent="0.2">
      <c r="A280" s="588">
        <v>5</v>
      </c>
      <c r="B280" s="587" t="s">
        <v>744</v>
      </c>
      <c r="C280" s="623">
        <f t="shared" si="31"/>
        <v>0.24527857801061489</v>
      </c>
      <c r="D280" s="623">
        <f t="shared" si="31"/>
        <v>0.33167088190462257</v>
      </c>
      <c r="E280" s="650">
        <f t="shared" si="32"/>
        <v>8.6392303894007677E-2</v>
      </c>
    </row>
    <row r="281" spans="1:5" x14ac:dyDescent="0.2">
      <c r="A281" s="588">
        <v>6</v>
      </c>
      <c r="B281" s="587" t="s">
        <v>424</v>
      </c>
      <c r="C281" s="623">
        <f t="shared" si="31"/>
        <v>0.38346440710103669</v>
      </c>
      <c r="D281" s="623">
        <f t="shared" si="31"/>
        <v>0.40104823131816258</v>
      </c>
      <c r="E281" s="650">
        <f t="shared" si="32"/>
        <v>1.7583824217125898E-2</v>
      </c>
    </row>
    <row r="282" spans="1:5" x14ac:dyDescent="0.2">
      <c r="A282" s="588">
        <v>7</v>
      </c>
      <c r="B282" s="587" t="s">
        <v>759</v>
      </c>
      <c r="C282" s="623">
        <f t="shared" si="31"/>
        <v>0.17462957710851684</v>
      </c>
      <c r="D282" s="623">
        <f t="shared" si="31"/>
        <v>0.19487998975702481</v>
      </c>
      <c r="E282" s="650">
        <f t="shared" si="32"/>
        <v>2.0250412648507965E-2</v>
      </c>
    </row>
    <row r="283" spans="1:5" ht="29.25" customHeight="1" x14ac:dyDescent="0.2">
      <c r="A283" s="588"/>
      <c r="B283" s="592" t="s">
        <v>845</v>
      </c>
      <c r="C283" s="651">
        <f t="shared" si="31"/>
        <v>0.40389640170974977</v>
      </c>
      <c r="D283" s="651">
        <f t="shared" si="31"/>
        <v>0.40059439043103484</v>
      </c>
      <c r="E283" s="652">
        <f t="shared" si="32"/>
        <v>-3.3020112787149336E-3</v>
      </c>
    </row>
    <row r="284" spans="1:5" x14ac:dyDescent="0.2">
      <c r="A284" s="588"/>
      <c r="B284" s="592" t="s">
        <v>846</v>
      </c>
      <c r="C284" s="651">
        <f t="shared" si="31"/>
        <v>0.49233082103969178</v>
      </c>
      <c r="D284" s="651">
        <f t="shared" si="31"/>
        <v>0.4988643882292268</v>
      </c>
      <c r="E284" s="652">
        <f t="shared" si="32"/>
        <v>6.5335671895350167E-3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0.58104621719099869</v>
      </c>
      <c r="D287" s="623">
        <f t="shared" si="33"/>
        <v>0.56621059731825107</v>
      </c>
      <c r="E287" s="650">
        <f t="shared" ref="E287:E295" si="34">D287-C287</f>
        <v>-1.4835619872747619E-2</v>
      </c>
    </row>
    <row r="288" spans="1:5" x14ac:dyDescent="0.2">
      <c r="A288" s="588">
        <v>2</v>
      </c>
      <c r="B288" s="587" t="s">
        <v>636</v>
      </c>
      <c r="C288" s="623">
        <f t="shared" si="33"/>
        <v>0.22676768587434773</v>
      </c>
      <c r="D288" s="623">
        <f t="shared" si="33"/>
        <v>0.2220995085865132</v>
      </c>
      <c r="E288" s="650">
        <f t="shared" si="34"/>
        <v>-4.6681772878345296E-3</v>
      </c>
    </row>
    <row r="289" spans="1:5" x14ac:dyDescent="0.2">
      <c r="A289" s="588">
        <v>3</v>
      </c>
      <c r="B289" s="587" t="s">
        <v>778</v>
      </c>
      <c r="C289" s="623">
        <f t="shared" si="33"/>
        <v>0.17272343915547575</v>
      </c>
      <c r="D289" s="623">
        <f t="shared" si="33"/>
        <v>0.19431364400346871</v>
      </c>
      <c r="E289" s="650">
        <f t="shared" si="34"/>
        <v>2.1590204847992955E-2</v>
      </c>
    </row>
    <row r="290" spans="1:5" x14ac:dyDescent="0.2">
      <c r="A290" s="588">
        <v>4</v>
      </c>
      <c r="B290" s="587" t="s">
        <v>115</v>
      </c>
      <c r="C290" s="623">
        <f t="shared" si="33"/>
        <v>0.17074341453546349</v>
      </c>
      <c r="D290" s="623">
        <f t="shared" si="33"/>
        <v>0.19314609941011837</v>
      </c>
      <c r="E290" s="650">
        <f t="shared" si="34"/>
        <v>2.2402684874654882E-2</v>
      </c>
    </row>
    <row r="291" spans="1:5" x14ac:dyDescent="0.2">
      <c r="A291" s="588">
        <v>5</v>
      </c>
      <c r="B291" s="587" t="s">
        <v>744</v>
      </c>
      <c r="C291" s="623">
        <f t="shared" si="33"/>
        <v>0.24887213339895711</v>
      </c>
      <c r="D291" s="623">
        <f t="shared" si="33"/>
        <v>0.2341871179775312</v>
      </c>
      <c r="E291" s="650">
        <f t="shared" si="34"/>
        <v>-1.4685015421425918E-2</v>
      </c>
    </row>
    <row r="292" spans="1:5" x14ac:dyDescent="0.2">
      <c r="A292" s="588">
        <v>6</v>
      </c>
      <c r="B292" s="587" t="s">
        <v>424</v>
      </c>
      <c r="C292" s="623">
        <f t="shared" si="33"/>
        <v>0.26913398477846479</v>
      </c>
      <c r="D292" s="623">
        <f t="shared" si="33"/>
        <v>0.24164525764846248</v>
      </c>
      <c r="E292" s="650">
        <f t="shared" si="34"/>
        <v>-2.7488727130002305E-2</v>
      </c>
    </row>
    <row r="293" spans="1:5" x14ac:dyDescent="0.2">
      <c r="A293" s="588">
        <v>7</v>
      </c>
      <c r="B293" s="587" t="s">
        <v>759</v>
      </c>
      <c r="C293" s="623">
        <f t="shared" si="33"/>
        <v>0.16140757173017783</v>
      </c>
      <c r="D293" s="623">
        <f t="shared" si="33"/>
        <v>0.13830967070258932</v>
      </c>
      <c r="E293" s="650">
        <f t="shared" si="34"/>
        <v>-2.3097901027588519E-2</v>
      </c>
    </row>
    <row r="294" spans="1:5" ht="29.25" customHeight="1" x14ac:dyDescent="0.2">
      <c r="A294" s="588"/>
      <c r="B294" s="592" t="s">
        <v>848</v>
      </c>
      <c r="C294" s="651">
        <f t="shared" si="33"/>
        <v>0.20663160200938369</v>
      </c>
      <c r="D294" s="651">
        <f t="shared" si="33"/>
        <v>0.21191218797400554</v>
      </c>
      <c r="E294" s="652">
        <f t="shared" si="34"/>
        <v>5.2805859646218589E-3</v>
      </c>
    </row>
    <row r="295" spans="1:5" x14ac:dyDescent="0.2">
      <c r="A295" s="588"/>
      <c r="B295" s="592" t="s">
        <v>849</v>
      </c>
      <c r="C295" s="651">
        <f t="shared" si="33"/>
        <v>0.35555153236996478</v>
      </c>
      <c r="D295" s="651">
        <f t="shared" si="33"/>
        <v>0.3503775261267229</v>
      </c>
      <c r="E295" s="652">
        <f t="shared" si="34"/>
        <v>-5.1740062432418799E-3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296630535</v>
      </c>
      <c r="D301" s="590">
        <f>+D48+D47+D50+D51+D52+D59+D58+D61+D62+D63</f>
        <v>312922461</v>
      </c>
      <c r="E301" s="590">
        <f>D301-C301</f>
        <v>16291926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296630535</v>
      </c>
      <c r="D303" s="593">
        <f>+D301+D302</f>
        <v>312922461</v>
      </c>
      <c r="E303" s="593">
        <f>D303-C303</f>
        <v>16291926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-11102535</v>
      </c>
      <c r="D305" s="654">
        <v>-12778461</v>
      </c>
      <c r="E305" s="655">
        <f>D305-C305</f>
        <v>-1675926</v>
      </c>
    </row>
    <row r="306" spans="1:5" x14ac:dyDescent="0.2">
      <c r="A306" s="588">
        <v>4</v>
      </c>
      <c r="B306" s="592" t="s">
        <v>856</v>
      </c>
      <c r="C306" s="593">
        <f>+C303+C305+C194+C190-C191</f>
        <v>297481890</v>
      </c>
      <c r="D306" s="593">
        <f>+D303+D305</f>
        <v>300144000</v>
      </c>
      <c r="E306" s="656">
        <f>D306-C306</f>
        <v>2662110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285528000</v>
      </c>
      <c r="D308" s="589">
        <v>300144000</v>
      </c>
      <c r="E308" s="590">
        <f>D308-C308</f>
        <v>14616000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11953890</v>
      </c>
      <c r="D310" s="658">
        <f>D306-D308</f>
        <v>0</v>
      </c>
      <c r="E310" s="656">
        <f>D310-C310</f>
        <v>-11953890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738603146</v>
      </c>
      <c r="D314" s="590">
        <f>+D14+D15+D16+D19+D25+D26+D27+D30</f>
        <v>788477289</v>
      </c>
      <c r="E314" s="590">
        <f>D314-C314</f>
        <v>49874143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738603146</v>
      </c>
      <c r="D316" s="657">
        <f>D314+D315</f>
        <v>788477289</v>
      </c>
      <c r="E316" s="593">
        <f>D316-C316</f>
        <v>49874143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738603146</v>
      </c>
      <c r="D318" s="589">
        <v>788477289</v>
      </c>
      <c r="E318" s="590">
        <f>D318-C318</f>
        <v>49874143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12714941</v>
      </c>
      <c r="D324" s="589">
        <f>+D193+D194</f>
        <v>12662780</v>
      </c>
      <c r="E324" s="590">
        <f>D324-C324</f>
        <v>-52161</v>
      </c>
    </row>
    <row r="325" spans="1:5" x14ac:dyDescent="0.2">
      <c r="A325" s="588">
        <v>2</v>
      </c>
      <c r="B325" s="587" t="s">
        <v>866</v>
      </c>
      <c r="C325" s="589">
        <v>81470</v>
      </c>
      <c r="D325" s="589">
        <v>255977</v>
      </c>
      <c r="E325" s="590">
        <f>D325-C325</f>
        <v>174507</v>
      </c>
    </row>
    <row r="326" spans="1:5" x14ac:dyDescent="0.2">
      <c r="A326" s="588"/>
      <c r="B326" s="592" t="s">
        <v>867</v>
      </c>
      <c r="C326" s="657">
        <f>C324+C325</f>
        <v>12796411</v>
      </c>
      <c r="D326" s="657">
        <f>D324+D325</f>
        <v>12918757</v>
      </c>
      <c r="E326" s="593">
        <f>D326-C326</f>
        <v>122346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12796411</v>
      </c>
      <c r="D328" s="589">
        <v>12918757</v>
      </c>
      <c r="E328" s="590">
        <f>D328-C328</f>
        <v>122346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55" orientation="portrait" horizontalDpi="1200" verticalDpi="1200" r:id="rId1"/>
  <headerFooter>
    <oddHeader>_x000D_
                &amp;LOFFICE OF HEALTH CARE ACCESS&amp;CTWELVE MONTHS ACTUAL FILING&amp;RWILLIAM W. BACKUS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64880785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129978203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49018885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47665462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1353423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2997430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2842924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181994518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246875303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211666494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193320905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127428427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123803313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3625114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9186160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10508130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329935492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541601986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276547279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511930010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788477289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50251314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57409048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14294821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13845930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448891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1202114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554029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72905983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123157297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119847812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42936478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24761082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23912127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848955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2219792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1453376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69917352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189765164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170099126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142823335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312922461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2967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4773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2628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2568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60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239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112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7640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10607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1.3725000000000001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1.5696000000000001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1.0853337899543378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1.0773999999999999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1.4249000000000001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0.66520000000000001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1.2406999999999999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1.3747304712041886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1.3741065617045347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254229941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166056173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88173768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0.34682684365646765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4292994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8369786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12662780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5244953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268857395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312922461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312922461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-12778461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300144000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300144000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788477289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788477289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788477289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12662780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255977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12918757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12918757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FILING&amp;RWILLIAM W. BACKUS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3"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1731</v>
      </c>
      <c r="D12" s="185">
        <v>1628</v>
      </c>
      <c r="E12" s="185">
        <f>+D12-C12</f>
        <v>-103</v>
      </c>
      <c r="F12" s="77">
        <f>IF(C12=0,0,+E12/C12)</f>
        <v>-5.9503177354130563E-2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1575</v>
      </c>
      <c r="D13" s="185">
        <v>1522</v>
      </c>
      <c r="E13" s="185">
        <f>+D13-C13</f>
        <v>-53</v>
      </c>
      <c r="F13" s="77">
        <f>IF(C13=0,0,+E13/C13)</f>
        <v>-3.3650793650793653E-2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4033618</v>
      </c>
      <c r="D15" s="76">
        <v>4292994</v>
      </c>
      <c r="E15" s="76">
        <f>+D15-C15</f>
        <v>259376</v>
      </c>
      <c r="F15" s="77">
        <f>IF(C15=0,0,+E15/C15)</f>
        <v>6.4303560723896022E-2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2561.0273015873017</v>
      </c>
      <c r="D16" s="79">
        <f>IF(D13=0,0,+D15/+D13)</f>
        <v>2820.6268068331142</v>
      </c>
      <c r="E16" s="79">
        <f>+D16-C16</f>
        <v>259.59950524581245</v>
      </c>
      <c r="F16" s="80">
        <f>IF(C16=0,0,+E16/C16)</f>
        <v>0.10136537985554274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0.35559400000000002</v>
      </c>
      <c r="D18" s="704">
        <v>0.33703899999999998</v>
      </c>
      <c r="E18" s="704">
        <f>+D18-C18</f>
        <v>-1.8555000000000044E-2</v>
      </c>
      <c r="F18" s="77">
        <f>IF(C18=0,0,+E18/C18)</f>
        <v>-5.2180295505548584E-2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1434330.3590920002</v>
      </c>
      <c r="D19" s="79">
        <f>+D15*D18</f>
        <v>1446906.4047659999</v>
      </c>
      <c r="E19" s="79">
        <f>+D19-C19</f>
        <v>12576.045673999703</v>
      </c>
      <c r="F19" s="80">
        <f>IF(C19=0,0,+E19/C19)</f>
        <v>8.7678864177154706E-3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910.685942280635</v>
      </c>
      <c r="D20" s="79">
        <f>IF(D13=0,0,+D19/D13)</f>
        <v>950.66123834822599</v>
      </c>
      <c r="E20" s="79">
        <f>+D20-C20</f>
        <v>39.975296067590989</v>
      </c>
      <c r="F20" s="80">
        <f>IF(C20=0,0,+E20/C20)</f>
        <v>4.3895808875099876E-2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1132798</v>
      </c>
      <c r="D22" s="76">
        <v>1339156</v>
      </c>
      <c r="E22" s="76">
        <f>+D22-C22</f>
        <v>206358</v>
      </c>
      <c r="F22" s="77">
        <f>IF(C22=0,0,+E22/C22)</f>
        <v>0.18216663518120618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1619052</v>
      </c>
      <c r="D23" s="185">
        <v>1159719</v>
      </c>
      <c r="E23" s="185">
        <f>+D23-C23</f>
        <v>-459333</v>
      </c>
      <c r="F23" s="77">
        <f>IF(C23=0,0,+E23/C23)</f>
        <v>-0.28370490879848209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1281768</v>
      </c>
      <c r="D24" s="185">
        <v>1794119</v>
      </c>
      <c r="E24" s="185">
        <f>+D24-C24</f>
        <v>512351</v>
      </c>
      <c r="F24" s="77">
        <f>IF(C24=0,0,+E24/C24)</f>
        <v>0.39972210259578955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4033618</v>
      </c>
      <c r="D25" s="79">
        <f>+D22+D23+D24</f>
        <v>4292994</v>
      </c>
      <c r="E25" s="79">
        <f>+E22+E23+E24</f>
        <v>259376</v>
      </c>
      <c r="F25" s="80">
        <f>IF(C25=0,0,+E25/C25)</f>
        <v>6.4303560723896022E-2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1713</v>
      </c>
      <c r="D27" s="185">
        <v>1454</v>
      </c>
      <c r="E27" s="185">
        <f>+D27-C27</f>
        <v>-259</v>
      </c>
      <c r="F27" s="77">
        <f>IF(C27=0,0,+E27/C27)</f>
        <v>-0.15119673088149446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352</v>
      </c>
      <c r="D28" s="185">
        <v>329</v>
      </c>
      <c r="E28" s="185">
        <f>+D28-C28</f>
        <v>-23</v>
      </c>
      <c r="F28" s="77">
        <f>IF(C28=0,0,+E28/C28)</f>
        <v>-6.5340909090909088E-2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1642</v>
      </c>
      <c r="D29" s="185">
        <v>1653</v>
      </c>
      <c r="E29" s="185">
        <f>+D29-C29</f>
        <v>11</v>
      </c>
      <c r="F29" s="77">
        <f>IF(C29=0,0,+E29/C29)</f>
        <v>6.6991473812423874E-3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4576</v>
      </c>
      <c r="D30" s="185">
        <v>4698</v>
      </c>
      <c r="E30" s="185">
        <f>+D30-C30</f>
        <v>122</v>
      </c>
      <c r="F30" s="77">
        <f>IF(C30=0,0,+E30/C30)</f>
        <v>2.666083916083916E-2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1463260</v>
      </c>
      <c r="D33" s="76">
        <v>1205360</v>
      </c>
      <c r="E33" s="76">
        <f>+D33-C33</f>
        <v>-257900</v>
      </c>
      <c r="F33" s="77">
        <f>IF(C33=0,0,+E33/C33)</f>
        <v>-0.17625029044735727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2622408</v>
      </c>
      <c r="D34" s="185">
        <v>2831474</v>
      </c>
      <c r="E34" s="185">
        <f>+D34-C34</f>
        <v>209066</v>
      </c>
      <c r="F34" s="77">
        <f>IF(C34=0,0,+E34/C34)</f>
        <v>7.9722911156463835E-2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4595655</v>
      </c>
      <c r="D35" s="185">
        <v>4332952</v>
      </c>
      <c r="E35" s="185">
        <f>+D35-C35</f>
        <v>-262703</v>
      </c>
      <c r="F35" s="77">
        <f>IF(C35=0,0,+E35/C35)</f>
        <v>-5.7163342330962617E-2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8681323</v>
      </c>
      <c r="D36" s="79">
        <f>+D33+D34+D35</f>
        <v>8369786</v>
      </c>
      <c r="E36" s="79">
        <f>+E33+E34+E35</f>
        <v>-311537</v>
      </c>
      <c r="F36" s="80">
        <f>IF(C36=0,0,+E36/C36)</f>
        <v>-3.5885889742842195E-2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4033618</v>
      </c>
      <c r="D39" s="76">
        <f>+D25</f>
        <v>4292994</v>
      </c>
      <c r="E39" s="76">
        <f>+D39-C39</f>
        <v>259376</v>
      </c>
      <c r="F39" s="77">
        <f>IF(C39=0,0,+E39/C39)</f>
        <v>6.4303560723896022E-2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8681323</v>
      </c>
      <c r="D40" s="185">
        <f>+D36</f>
        <v>8369786</v>
      </c>
      <c r="E40" s="185">
        <f>+D40-C40</f>
        <v>-311537</v>
      </c>
      <c r="F40" s="77">
        <f>IF(C40=0,0,+E40/C40)</f>
        <v>-3.5885889742842195E-2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12714941</v>
      </c>
      <c r="D41" s="79">
        <f>+D39+D40</f>
        <v>12662780</v>
      </c>
      <c r="E41" s="79">
        <f>+E39+E40</f>
        <v>-52161</v>
      </c>
      <c r="F41" s="80">
        <f>IF(C41=0,0,+E41/C41)</f>
        <v>-4.1023391300046138E-3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2596058</v>
      </c>
      <c r="D43" s="76">
        <f t="shared" si="0"/>
        <v>2544516</v>
      </c>
      <c r="E43" s="76">
        <f>+D43-C43</f>
        <v>-51542</v>
      </c>
      <c r="F43" s="77">
        <f>IF(C43=0,0,+E43/C43)</f>
        <v>-1.9853947793154081E-2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4241460</v>
      </c>
      <c r="D44" s="185">
        <f t="shared" si="0"/>
        <v>3991193</v>
      </c>
      <c r="E44" s="185">
        <f>+D44-C44</f>
        <v>-250267</v>
      </c>
      <c r="F44" s="77">
        <f>IF(C44=0,0,+E44/C44)</f>
        <v>-5.9004918117817919E-2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5877423</v>
      </c>
      <c r="D45" s="185">
        <f t="shared" si="0"/>
        <v>6127071</v>
      </c>
      <c r="E45" s="185">
        <f>+D45-C45</f>
        <v>249648</v>
      </c>
      <c r="F45" s="77">
        <f>IF(C45=0,0,+E45/C45)</f>
        <v>4.2475758508448348E-2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12714941</v>
      </c>
      <c r="D46" s="79">
        <f>+D43+D44+D45</f>
        <v>12662780</v>
      </c>
      <c r="E46" s="79">
        <f>+E43+E44+E45</f>
        <v>-52161</v>
      </c>
      <c r="F46" s="80">
        <f>IF(C46=0,0,+E46/C46)</f>
        <v>-4.1023391300046138E-3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FILING&amp;RWILLIAM W. BACKUS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2"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236897234</v>
      </c>
      <c r="D15" s="76">
        <v>254229941</v>
      </c>
      <c r="E15" s="76">
        <f>+D15-C15</f>
        <v>17332707</v>
      </c>
      <c r="F15" s="77">
        <f>IF(C15=0,0,E15/C15)</f>
        <v>7.3165510239769194E-2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78959459</v>
      </c>
      <c r="D17" s="76">
        <v>88173768</v>
      </c>
      <c r="E17" s="76">
        <f>+D17-C17</f>
        <v>9214309</v>
      </c>
      <c r="F17" s="77">
        <f>IF(C17=0,0,E17/C17)</f>
        <v>0.11669670887689339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157937775</v>
      </c>
      <c r="D19" s="79">
        <f>+D15-D17</f>
        <v>166056173</v>
      </c>
      <c r="E19" s="79">
        <f>+D19-C19</f>
        <v>8118398</v>
      </c>
      <c r="F19" s="80">
        <f>IF(C19=0,0,E19/C19)</f>
        <v>5.1402509627604925E-2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0.33330680002789731</v>
      </c>
      <c r="D21" s="720">
        <f>IF(D15=0,0,D17/D15)</f>
        <v>0.34682684365646765</v>
      </c>
      <c r="E21" s="720">
        <f>+D21-C21</f>
        <v>1.3520043628570344E-2</v>
      </c>
      <c r="F21" s="80">
        <f>IF(C21=0,0,E21/C21)</f>
        <v>4.0563359725750377E-2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FILING&amp;R&amp;12WILLIAM W. BACKUS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247780251</v>
      </c>
      <c r="D10" s="744">
        <v>248714955</v>
      </c>
      <c r="E10" s="744">
        <v>246875303</v>
      </c>
    </row>
    <row r="11" spans="1:6" ht="26.1" customHeight="1" x14ac:dyDescent="0.25">
      <c r="A11" s="742">
        <v>2</v>
      </c>
      <c r="B11" s="743" t="s">
        <v>933</v>
      </c>
      <c r="C11" s="744">
        <v>453925211</v>
      </c>
      <c r="D11" s="744">
        <v>489888191</v>
      </c>
      <c r="E11" s="744">
        <v>541601986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701705462</v>
      </c>
      <c r="D12" s="744">
        <f>+D11+D10</f>
        <v>738603146</v>
      </c>
      <c r="E12" s="744">
        <f>+E11+E10</f>
        <v>788477289</v>
      </c>
    </row>
    <row r="13" spans="1:6" ht="26.1" customHeight="1" x14ac:dyDescent="0.25">
      <c r="A13" s="742">
        <v>4</v>
      </c>
      <c r="B13" s="743" t="s">
        <v>507</v>
      </c>
      <c r="C13" s="744">
        <v>293617939</v>
      </c>
      <c r="D13" s="744">
        <v>285527689</v>
      </c>
      <c r="E13" s="744">
        <v>300143644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252028161</v>
      </c>
      <c r="D16" s="744">
        <v>251154393</v>
      </c>
      <c r="E16" s="744">
        <v>268857395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48840</v>
      </c>
      <c r="D19" s="747">
        <v>47919</v>
      </c>
      <c r="E19" s="747">
        <v>46555</v>
      </c>
    </row>
    <row r="20" spans="1:5" ht="26.1" customHeight="1" x14ac:dyDescent="0.25">
      <c r="A20" s="742">
        <v>2</v>
      </c>
      <c r="B20" s="743" t="s">
        <v>381</v>
      </c>
      <c r="C20" s="748">
        <v>10690</v>
      </c>
      <c r="D20" s="748">
        <v>10803</v>
      </c>
      <c r="E20" s="748">
        <v>10607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4.568755846585594</v>
      </c>
      <c r="D21" s="749">
        <f>IF(D20=0,0,+D19/D20)</f>
        <v>4.4357123021382945</v>
      </c>
      <c r="E21" s="749">
        <f>IF(E20=0,0,+E19/E20)</f>
        <v>4.3890826812482322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138313.26195597404</v>
      </c>
      <c r="D22" s="748">
        <f>IF(D10=0,0,D19*(D12/D10))</f>
        <v>142303.9646054818</v>
      </c>
      <c r="E22" s="748">
        <f>IF(E10=0,0,E19*(E12/E10))</f>
        <v>148688.66890826661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30273.725845810044</v>
      </c>
      <c r="D23" s="748">
        <f>IF(D10=0,0,D20*(D12/D10))</f>
        <v>32081.423436069617</v>
      </c>
      <c r="E23" s="748">
        <f>IF(E10=0,0,E20*(E12/E10))</f>
        <v>33876.935046933395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1.2959810009354535</v>
      </c>
      <c r="D26" s="750">
        <v>1.3528014070165695</v>
      </c>
      <c r="E26" s="750">
        <v>1.3741065617045347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63295.712085687548</v>
      </c>
      <c r="D27" s="748">
        <f>D19*D26</f>
        <v>64824.890622826992</v>
      </c>
      <c r="E27" s="748">
        <f>E19*E26</f>
        <v>63971.53098015461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13854.036899999999</v>
      </c>
      <c r="D28" s="748">
        <f>D20*D26</f>
        <v>14614.313599999999</v>
      </c>
      <c r="E28" s="748">
        <f>E20*E26</f>
        <v>14575.148299999999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179251.35967235084</v>
      </c>
      <c r="D29" s="748">
        <f>D22*D26</f>
        <v>192509.00354233189</v>
      </c>
      <c r="E29" s="748">
        <f>E22*E26</f>
        <v>204314.07559796219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39234.17352369841</v>
      </c>
      <c r="D30" s="748">
        <f>D23*D26</f>
        <v>43399.794763409329</v>
      </c>
      <c r="E30" s="748">
        <f>E23*E26</f>
        <v>46550.518738429499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14367.433701883701</v>
      </c>
      <c r="D33" s="744">
        <f>IF(D19=0,0,D12/D19)</f>
        <v>15413.575951084122</v>
      </c>
      <c r="E33" s="744">
        <f>IF(E19=0,0,E12/E19)</f>
        <v>16936.468456664159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65641.296725912063</v>
      </c>
      <c r="D34" s="744">
        <f>IF(D20=0,0,D12/D20)</f>
        <v>68370.188466166801</v>
      </c>
      <c r="E34" s="744">
        <f>IF(E20=0,0,E12/E20)</f>
        <v>74335.560384651646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5073.3057125307123</v>
      </c>
      <c r="D35" s="744">
        <f>IF(D22=0,0,D12/D22)</f>
        <v>5190.3202278845556</v>
      </c>
      <c r="E35" s="744">
        <f>IF(E22=0,0,E12/E22)</f>
        <v>5302.8740844162821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23178.695135640784</v>
      </c>
      <c r="D36" s="744">
        <f>IF(D23=0,0,D12/D23)</f>
        <v>23022.767286864761</v>
      </c>
      <c r="E36" s="744">
        <f>IF(E23=0,0,E12/E23)</f>
        <v>23274.752804751577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3914.6451289553966</v>
      </c>
      <c r="D37" s="744">
        <f>IF(D29=0,0,D12/D29)</f>
        <v>3836.7200100206451</v>
      </c>
      <c r="E37" s="744">
        <f>IF(E29=0,0,E12/E29)</f>
        <v>3859.1432660347959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17885.057820222784</v>
      </c>
      <c r="D38" s="744">
        <f>IF(D30=0,0,D12/D30)</f>
        <v>17018.586148308736</v>
      </c>
      <c r="E38" s="744">
        <f>IF(E30=0,0,E12/E30)</f>
        <v>16938.098873409061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1791.4424654294537</v>
      </c>
      <c r="D39" s="744">
        <f>IF(D22=0,0,D10/D22)</f>
        <v>1747.7724931243347</v>
      </c>
      <c r="E39" s="744">
        <f>IF(E22=0,0,E10/E22)</f>
        <v>1660.3504813961956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8184.6632377525275</v>
      </c>
      <c r="D40" s="744">
        <f>IF(D23=0,0,D10/D23)</f>
        <v>7752.6159490905293</v>
      </c>
      <c r="E40" s="744">
        <f>IF(E23=0,0,E10/E23)</f>
        <v>7287.4155426982061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6011.8333128583126</v>
      </c>
      <c r="D43" s="744">
        <f>IF(D19=0,0,D13/D19)</f>
        <v>5958.5485715478198</v>
      </c>
      <c r="E43" s="744">
        <f>IF(E19=0,0,E13/E19)</f>
        <v>6447.076447212974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27466.598596819458</v>
      </c>
      <c r="D44" s="744">
        <f>IF(D20=0,0,D13/D20)</f>
        <v>26430.40720170323</v>
      </c>
      <c r="E44" s="744">
        <f>IF(E20=0,0,E13/E20)</f>
        <v>28296.751579145846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2122.8473311074131</v>
      </c>
      <c r="D45" s="744">
        <f>IF(D22=0,0,D13/D22)</f>
        <v>2006.4633462011147</v>
      </c>
      <c r="E45" s="744">
        <f>IF(E22=0,0,E13/E22)</f>
        <v>2018.6046872554455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9698.7711554056186</v>
      </c>
      <c r="D46" s="744">
        <f>IF(D23=0,0,D13/D23)</f>
        <v>8900.0941485338517</v>
      </c>
      <c r="E46" s="744">
        <f>IF(E23=0,0,E13/E23)</f>
        <v>8859.8228731193794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1638.023496930216</v>
      </c>
      <c r="D47" s="744">
        <f>IF(D29=0,0,D13/D29)</f>
        <v>1483.1913507734391</v>
      </c>
      <c r="E47" s="744">
        <f>IF(E29=0,0,E13/E29)</f>
        <v>1469.0306731025516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7483.7294284445043</v>
      </c>
      <c r="D48" s="744">
        <f>IF(D30=0,0,D13/D30)</f>
        <v>6579.0101210508583</v>
      </c>
      <c r="E48" s="744">
        <f>IF(E30=0,0,E13/E30)</f>
        <v>6447.6970855368418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5160.2817567567572</v>
      </c>
      <c r="D51" s="744">
        <f>IF(D19=0,0,D16/D19)</f>
        <v>5241.227759343893</v>
      </c>
      <c r="E51" s="744">
        <f>IF(E19=0,0,E16/E19)</f>
        <v>5775.0487595317363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23576.067446211411</v>
      </c>
      <c r="D52" s="744">
        <f>IF(D20=0,0,D16/D20)</f>
        <v>23248.578450430436</v>
      </c>
      <c r="E52" s="744">
        <f>IF(E20=0,0,E16/E20)</f>
        <v>25347.166493824832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1822.1547047326676</v>
      </c>
      <c r="D53" s="744">
        <f>IF(D22=0,0,D16/D22)</f>
        <v>1764.9149389217023</v>
      </c>
      <c r="E53" s="744">
        <f>IF(E22=0,0,E16/E22)</f>
        <v>1808.1902069206863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8324.9799606308225</v>
      </c>
      <c r="D54" s="744">
        <f>IF(D23=0,0,D16/D23)</f>
        <v>7828.6549068026516</v>
      </c>
      <c r="E54" s="744">
        <f>IF(E23=0,0,E16/E23)</f>
        <v>7936.29632159824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1406.0041801673142</v>
      </c>
      <c r="D55" s="744">
        <f>IF(D29=0,0,D16/D29)</f>
        <v>1304.6371254255246</v>
      </c>
      <c r="E55" s="744">
        <f>IF(E29=0,0,E16/E29)</f>
        <v>1315.9024615075593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6423.6898184632018</v>
      </c>
      <c r="D56" s="744">
        <f>IF(D30=0,0,D16/D30)</f>
        <v>5786.9949470763404</v>
      </c>
      <c r="E56" s="744">
        <f>IF(E30=0,0,E16/E30)</f>
        <v>5775.6047040147459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39084390</v>
      </c>
      <c r="D59" s="752">
        <v>36651849</v>
      </c>
      <c r="E59" s="752">
        <v>36817884</v>
      </c>
    </row>
    <row r="60" spans="1:6" ht="26.1" customHeight="1" x14ac:dyDescent="0.25">
      <c r="A60" s="742">
        <v>2</v>
      </c>
      <c r="B60" s="743" t="s">
        <v>969</v>
      </c>
      <c r="C60" s="752">
        <v>6219772</v>
      </c>
      <c r="D60" s="752">
        <v>6103468</v>
      </c>
      <c r="E60" s="752">
        <v>7858189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45304162</v>
      </c>
      <c r="D61" s="755">
        <f>D59+D60</f>
        <v>42755317</v>
      </c>
      <c r="E61" s="755">
        <f>E59+E60</f>
        <v>44676073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13219670</v>
      </c>
      <c r="D64" s="744">
        <v>13820490</v>
      </c>
      <c r="E64" s="752">
        <v>13424880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2522646</v>
      </c>
      <c r="D65" s="752">
        <v>2650717</v>
      </c>
      <c r="E65" s="752">
        <v>2871244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15742316</v>
      </c>
      <c r="D66" s="757">
        <f>D64+D65</f>
        <v>16471207</v>
      </c>
      <c r="E66" s="757">
        <f>E64+E65</f>
        <v>16296124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57862829</v>
      </c>
      <c r="D69" s="752">
        <v>58034107</v>
      </c>
      <c r="E69" s="752">
        <v>57216894</v>
      </c>
    </row>
    <row r="70" spans="1:6" ht="26.1" customHeight="1" x14ac:dyDescent="0.25">
      <c r="A70" s="742">
        <v>2</v>
      </c>
      <c r="B70" s="743" t="s">
        <v>977</v>
      </c>
      <c r="C70" s="752">
        <v>12705071</v>
      </c>
      <c r="D70" s="752">
        <v>15015799</v>
      </c>
      <c r="E70" s="752">
        <v>19582698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70567900</v>
      </c>
      <c r="D71" s="755">
        <f>D69+D70</f>
        <v>73049906</v>
      </c>
      <c r="E71" s="755">
        <f>E69+E70</f>
        <v>76799592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110166889</v>
      </c>
      <c r="D75" s="744">
        <f t="shared" si="0"/>
        <v>108506446</v>
      </c>
      <c r="E75" s="744">
        <f t="shared" si="0"/>
        <v>107459658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21447489</v>
      </c>
      <c r="D76" s="744">
        <f t="shared" si="0"/>
        <v>23769984</v>
      </c>
      <c r="E76" s="744">
        <f t="shared" si="0"/>
        <v>30312131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131614378</v>
      </c>
      <c r="D77" s="757">
        <f>D75+D76</f>
        <v>132276430</v>
      </c>
      <c r="E77" s="757">
        <f>E75+E76</f>
        <v>137771789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423.1</v>
      </c>
      <c r="D80" s="749">
        <v>398</v>
      </c>
      <c r="E80" s="749">
        <v>390.7</v>
      </c>
    </row>
    <row r="81" spans="1:5" ht="26.1" customHeight="1" x14ac:dyDescent="0.25">
      <c r="A81" s="742">
        <v>2</v>
      </c>
      <c r="B81" s="743" t="s">
        <v>617</v>
      </c>
      <c r="C81" s="749">
        <v>42.4</v>
      </c>
      <c r="D81" s="749">
        <v>44.3</v>
      </c>
      <c r="E81" s="749">
        <v>42.6</v>
      </c>
    </row>
    <row r="82" spans="1:5" ht="26.1" customHeight="1" x14ac:dyDescent="0.25">
      <c r="A82" s="742">
        <v>3</v>
      </c>
      <c r="B82" s="743" t="s">
        <v>983</v>
      </c>
      <c r="C82" s="749">
        <v>991.5</v>
      </c>
      <c r="D82" s="749">
        <v>981.2</v>
      </c>
      <c r="E82" s="749">
        <v>973.6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1457</v>
      </c>
      <c r="D83" s="759">
        <f>D80+D81+D82</f>
        <v>1423.5</v>
      </c>
      <c r="E83" s="759">
        <f>E80+E81+E82</f>
        <v>1406.9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92376.246750177263</v>
      </c>
      <c r="D86" s="752">
        <f>IF(D80=0,0,D59/D80)</f>
        <v>92090.072864321613</v>
      </c>
      <c r="E86" s="752">
        <f>IF(E80=0,0,E59/E80)</f>
        <v>94235.689787560797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14700.477428503898</v>
      </c>
      <c r="D87" s="752">
        <f>IF(D80=0,0,D60/D80)</f>
        <v>15335.346733668342</v>
      </c>
      <c r="E87" s="752">
        <f>IF(E80=0,0,E60/E80)</f>
        <v>20113.102124392117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107076.72417868116</v>
      </c>
      <c r="D88" s="755">
        <f>+D86+D87</f>
        <v>107425.41959798995</v>
      </c>
      <c r="E88" s="755">
        <f>+E86+E87</f>
        <v>114348.79191195291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311784.66981132078</v>
      </c>
      <c r="D91" s="744">
        <f>IF(D81=0,0,D64/D81)</f>
        <v>311974.94356659142</v>
      </c>
      <c r="E91" s="744">
        <f>IF(E81=0,0,E64/E81)</f>
        <v>315138.02816901408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59496.367924528306</v>
      </c>
      <c r="D92" s="744">
        <f>IF(D81=0,0,D65/D81)</f>
        <v>59835.598194130929</v>
      </c>
      <c r="E92" s="744">
        <f>IF(E81=0,0,E65/E81)</f>
        <v>67400.093896713617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371281.0377358491</v>
      </c>
      <c r="D93" s="757">
        <f>+D91+D92</f>
        <v>371810.54176072235</v>
      </c>
      <c r="E93" s="757">
        <f>+E91+E92</f>
        <v>382538.12206572772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58358.879475542111</v>
      </c>
      <c r="D96" s="752">
        <f>IF(D82=0,0,D69/D82)</f>
        <v>59146.05279249898</v>
      </c>
      <c r="E96" s="752">
        <f>IF(E82=0,0,E69/E82)</f>
        <v>58768.379211175023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12813.989914271306</v>
      </c>
      <c r="D97" s="752">
        <f>IF(D82=0,0,D70/D82)</f>
        <v>15303.504891969016</v>
      </c>
      <c r="E97" s="752">
        <f>IF(E82=0,0,E70/E82)</f>
        <v>20113.699671322924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71172.869389813422</v>
      </c>
      <c r="D98" s="757">
        <f>+D96+D97</f>
        <v>74449.557684467989</v>
      </c>
      <c r="E98" s="757">
        <f>+E96+E97</f>
        <v>78882.078882497939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75612.14070006863</v>
      </c>
      <c r="D101" s="744">
        <f>IF(D83=0,0,D75/D83)</f>
        <v>76225.111345275727</v>
      </c>
      <c r="E101" s="744">
        <f>IF(E83=0,0,E75/E83)</f>
        <v>76380.452057715534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14720.308167467399</v>
      </c>
      <c r="D102" s="761">
        <f>IF(D83=0,0,D76/D83)</f>
        <v>16698.267650158061</v>
      </c>
      <c r="E102" s="761">
        <f>IF(E83=0,0,E76/E83)</f>
        <v>21545.334423199944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90332.448867536034</v>
      </c>
      <c r="D103" s="757">
        <f>+D101+D102</f>
        <v>92923.378995433784</v>
      </c>
      <c r="E103" s="757">
        <f>+E101+E102</f>
        <v>97925.786480915471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2694.8070843570845</v>
      </c>
      <c r="D108" s="744">
        <f>IF(D19=0,0,D77/D19)</f>
        <v>2760.4171622947056</v>
      </c>
      <c r="E108" s="744">
        <f>IF(E19=0,0,E77/E19)</f>
        <v>2959.3338846525617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12311.915622076707</v>
      </c>
      <c r="D109" s="744">
        <f>IF(D20=0,0,D77/D20)</f>
        <v>12244.416365824309</v>
      </c>
      <c r="E109" s="744">
        <f>IF(E20=0,0,E77/E20)</f>
        <v>12988.761101159611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951.56730554076341</v>
      </c>
      <c r="D110" s="744">
        <f>IF(D22=0,0,D77/D22)</f>
        <v>929.53439749003644</v>
      </c>
      <c r="E110" s="744">
        <f>IF(E22=0,0,E77/E22)</f>
        <v>926.57893847310061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4347.4786906090631</v>
      </c>
      <c r="D111" s="744">
        <f>IF(D23=0,0,D77/D23)</f>
        <v>4123.1471622072622</v>
      </c>
      <c r="E111" s="744">
        <f>IF(E23=0,0,E77/E23)</f>
        <v>4066.8315716616567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734.24479591437796</v>
      </c>
      <c r="D112" s="744">
        <f>IF(D29=0,0,D77/D29)</f>
        <v>687.11814806580196</v>
      </c>
      <c r="E112" s="744">
        <f>IF(E29=0,0,E77/E29)</f>
        <v>674.31374268652746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3354.585204158861</v>
      </c>
      <c r="D113" s="744">
        <f>IF(D30=0,0,D77/D30)</f>
        <v>3047.8584223979601</v>
      </c>
      <c r="E113" s="744">
        <f>IF(E30=0,0,E77/E30)</f>
        <v>2959.6187697531141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FILING&amp;R&amp;"Arial,Bold"&amp;12WILLIAM W. BACKUS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5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738603146</v>
      </c>
      <c r="D12" s="76">
        <v>788477289</v>
      </c>
      <c r="E12" s="76">
        <f t="shared" ref="E12:E21" si="0">D12-C12</f>
        <v>49874143</v>
      </c>
      <c r="F12" s="77">
        <f t="shared" ref="F12:F21" si="1">IF(C12=0,0,E12/C12)</f>
        <v>6.7524953380038819E-2</v>
      </c>
    </row>
    <row r="13" spans="1:8" ht="23.1" customHeight="1" x14ac:dyDescent="0.2">
      <c r="A13" s="74">
        <v>2</v>
      </c>
      <c r="B13" s="75" t="s">
        <v>72</v>
      </c>
      <c r="C13" s="76">
        <v>440279045</v>
      </c>
      <c r="D13" s="76">
        <v>475414888</v>
      </c>
      <c r="E13" s="76">
        <f t="shared" si="0"/>
        <v>35135843</v>
      </c>
      <c r="F13" s="77">
        <f t="shared" si="1"/>
        <v>7.9803577751468957E-2</v>
      </c>
    </row>
    <row r="14" spans="1:8" ht="23.1" customHeight="1" x14ac:dyDescent="0.2">
      <c r="A14" s="74">
        <v>3</v>
      </c>
      <c r="B14" s="75" t="s">
        <v>73</v>
      </c>
      <c r="C14" s="76">
        <v>4309525</v>
      </c>
      <c r="D14" s="76">
        <v>4770269</v>
      </c>
      <c r="E14" s="76">
        <f t="shared" si="0"/>
        <v>460744</v>
      </c>
      <c r="F14" s="77">
        <f t="shared" si="1"/>
        <v>0.1069129428417285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294014576</v>
      </c>
      <c r="D16" s="79">
        <f>D12-D13-D14-D15</f>
        <v>308292132</v>
      </c>
      <c r="E16" s="79">
        <f t="shared" si="0"/>
        <v>14277556</v>
      </c>
      <c r="F16" s="80">
        <f t="shared" si="1"/>
        <v>4.856070809224098E-2</v>
      </c>
    </row>
    <row r="17" spans="1:7" ht="23.1" customHeight="1" x14ac:dyDescent="0.2">
      <c r="A17" s="74">
        <v>5</v>
      </c>
      <c r="B17" s="75" t="s">
        <v>76</v>
      </c>
      <c r="C17" s="76">
        <v>8486887</v>
      </c>
      <c r="D17" s="76">
        <v>8148488</v>
      </c>
      <c r="E17" s="76">
        <f t="shared" si="0"/>
        <v>-338399</v>
      </c>
      <c r="F17" s="77">
        <f t="shared" si="1"/>
        <v>-3.9873159616712228E-2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285527689</v>
      </c>
      <c r="D18" s="79">
        <f>D16-D17</f>
        <v>300143644</v>
      </c>
      <c r="E18" s="79">
        <f t="shared" si="0"/>
        <v>14615955</v>
      </c>
      <c r="F18" s="80">
        <f t="shared" si="1"/>
        <v>5.1189273625928448E-2</v>
      </c>
    </row>
    <row r="19" spans="1:7" ht="23.1" customHeight="1" x14ac:dyDescent="0.2">
      <c r="A19" s="74">
        <v>6</v>
      </c>
      <c r="B19" s="75" t="s">
        <v>78</v>
      </c>
      <c r="C19" s="76">
        <v>6358844</v>
      </c>
      <c r="D19" s="76">
        <v>4737171</v>
      </c>
      <c r="E19" s="76">
        <f t="shared" si="0"/>
        <v>-1621673</v>
      </c>
      <c r="F19" s="77">
        <f t="shared" si="1"/>
        <v>-0.25502638529896315</v>
      </c>
      <c r="G19" s="65"/>
    </row>
    <row r="20" spans="1:7" ht="33" customHeight="1" x14ac:dyDescent="0.2">
      <c r="A20" s="74">
        <v>7</v>
      </c>
      <c r="B20" s="82" t="s">
        <v>79</v>
      </c>
      <c r="C20" s="76">
        <v>217950</v>
      </c>
      <c r="D20" s="76">
        <v>507782</v>
      </c>
      <c r="E20" s="76">
        <f t="shared" si="0"/>
        <v>289832</v>
      </c>
      <c r="F20" s="77">
        <f t="shared" si="1"/>
        <v>1.3298095893553568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292104483</v>
      </c>
      <c r="D21" s="79">
        <f>SUM(D18:D20)</f>
        <v>305388597</v>
      </c>
      <c r="E21" s="79">
        <f t="shared" si="0"/>
        <v>13284114</v>
      </c>
      <c r="F21" s="80">
        <f t="shared" si="1"/>
        <v>4.5477268488207351E-2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108506446</v>
      </c>
      <c r="D24" s="76">
        <v>107459658</v>
      </c>
      <c r="E24" s="76">
        <f t="shared" ref="E24:E33" si="2">D24-C24</f>
        <v>-1046788</v>
      </c>
      <c r="F24" s="77">
        <f t="shared" ref="F24:F33" si="3">IF(C24=0,0,E24/C24)</f>
        <v>-9.6472425241906825E-3</v>
      </c>
    </row>
    <row r="25" spans="1:7" ht="23.1" customHeight="1" x14ac:dyDescent="0.2">
      <c r="A25" s="74">
        <v>2</v>
      </c>
      <c r="B25" s="75" t="s">
        <v>83</v>
      </c>
      <c r="C25" s="76">
        <v>23769984</v>
      </c>
      <c r="D25" s="76">
        <v>30312131</v>
      </c>
      <c r="E25" s="76">
        <f t="shared" si="2"/>
        <v>6542147</v>
      </c>
      <c r="F25" s="77">
        <f t="shared" si="3"/>
        <v>0.27522723616473616</v>
      </c>
    </row>
    <row r="26" spans="1:7" ht="23.1" customHeight="1" x14ac:dyDescent="0.2">
      <c r="A26" s="74">
        <v>3</v>
      </c>
      <c r="B26" s="75" t="s">
        <v>84</v>
      </c>
      <c r="C26" s="76">
        <v>3109419</v>
      </c>
      <c r="D26" s="76">
        <v>3220279</v>
      </c>
      <c r="E26" s="76">
        <f t="shared" si="2"/>
        <v>110860</v>
      </c>
      <c r="F26" s="77">
        <f t="shared" si="3"/>
        <v>3.5652962820385416E-2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39945030</v>
      </c>
      <c r="D27" s="76">
        <v>42847762</v>
      </c>
      <c r="E27" s="76">
        <f t="shared" si="2"/>
        <v>2902732</v>
      </c>
      <c r="F27" s="77">
        <f t="shared" si="3"/>
        <v>7.2668164224685777E-2</v>
      </c>
    </row>
    <row r="28" spans="1:7" ht="23.1" customHeight="1" x14ac:dyDescent="0.2">
      <c r="A28" s="74">
        <v>5</v>
      </c>
      <c r="B28" s="75" t="s">
        <v>86</v>
      </c>
      <c r="C28" s="76">
        <v>15041302</v>
      </c>
      <c r="D28" s="76">
        <v>13878122</v>
      </c>
      <c r="E28" s="76">
        <f t="shared" si="2"/>
        <v>-1163180</v>
      </c>
      <c r="F28" s="77">
        <f t="shared" si="3"/>
        <v>-7.7332401144528579E-2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3380083</v>
      </c>
      <c r="D30" s="76">
        <v>3369912</v>
      </c>
      <c r="E30" s="76">
        <f t="shared" si="2"/>
        <v>-10171</v>
      </c>
      <c r="F30" s="77">
        <f t="shared" si="3"/>
        <v>-3.0090977055888864E-3</v>
      </c>
    </row>
    <row r="31" spans="1:7" ht="23.1" customHeight="1" x14ac:dyDescent="0.2">
      <c r="A31" s="74">
        <v>8</v>
      </c>
      <c r="B31" s="75" t="s">
        <v>89</v>
      </c>
      <c r="C31" s="76">
        <v>3154911</v>
      </c>
      <c r="D31" s="76">
        <v>2185052</v>
      </c>
      <c r="E31" s="76">
        <f t="shared" si="2"/>
        <v>-969859</v>
      </c>
      <c r="F31" s="77">
        <f t="shared" si="3"/>
        <v>-0.30741247534399546</v>
      </c>
    </row>
    <row r="32" spans="1:7" ht="23.1" customHeight="1" x14ac:dyDescent="0.2">
      <c r="A32" s="74">
        <v>9</v>
      </c>
      <c r="B32" s="75" t="s">
        <v>90</v>
      </c>
      <c r="C32" s="76">
        <v>54247218</v>
      </c>
      <c r="D32" s="76">
        <v>65584479</v>
      </c>
      <c r="E32" s="76">
        <f t="shared" si="2"/>
        <v>11337261</v>
      </c>
      <c r="F32" s="77">
        <f t="shared" si="3"/>
        <v>0.20899248695112807</v>
      </c>
    </row>
    <row r="33" spans="1:6" ht="23.1" customHeight="1" x14ac:dyDescent="0.25">
      <c r="A33" s="71"/>
      <c r="B33" s="78" t="s">
        <v>91</v>
      </c>
      <c r="C33" s="79">
        <f>SUM(C24:C32)</f>
        <v>251154393</v>
      </c>
      <c r="D33" s="79">
        <f>SUM(D24:D32)</f>
        <v>268857395</v>
      </c>
      <c r="E33" s="79">
        <f t="shared" si="2"/>
        <v>17703002</v>
      </c>
      <c r="F33" s="80">
        <f t="shared" si="3"/>
        <v>7.0486531366385455E-2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40950090</v>
      </c>
      <c r="D35" s="79">
        <f>+D21-D33</f>
        <v>36531202</v>
      </c>
      <c r="E35" s="79">
        <f>D35-C35</f>
        <v>-4418888</v>
      </c>
      <c r="F35" s="80">
        <f>IF(C35=0,0,E35/C35)</f>
        <v>-0.10790911570646121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-1452426</v>
      </c>
      <c r="D38" s="76">
        <v>32330665</v>
      </c>
      <c r="E38" s="76">
        <f>D38-C38</f>
        <v>33783091</v>
      </c>
      <c r="F38" s="77">
        <f>IF(C38=0,0,E38/C38)</f>
        <v>-23.259767451147251</v>
      </c>
    </row>
    <row r="39" spans="1:6" ht="23.1" customHeight="1" x14ac:dyDescent="0.2">
      <c r="A39" s="85">
        <v>2</v>
      </c>
      <c r="B39" s="75" t="s">
        <v>95</v>
      </c>
      <c r="C39" s="76">
        <v>166697</v>
      </c>
      <c r="D39" s="76">
        <v>137003</v>
      </c>
      <c r="E39" s="76">
        <f>D39-C39</f>
        <v>-29694</v>
      </c>
      <c r="F39" s="77">
        <f>IF(C39=0,0,E39/C39)</f>
        <v>-0.17813158005243046</v>
      </c>
    </row>
    <row r="40" spans="1:6" ht="23.1" customHeight="1" x14ac:dyDescent="0.2">
      <c r="A40" s="85">
        <v>3</v>
      </c>
      <c r="B40" s="75" t="s">
        <v>96</v>
      </c>
      <c r="C40" s="76">
        <v>56355</v>
      </c>
      <c r="D40" s="76">
        <v>15445</v>
      </c>
      <c r="E40" s="76">
        <f>D40-C40</f>
        <v>-40910</v>
      </c>
      <c r="F40" s="77">
        <f>IF(C40=0,0,E40/C40)</f>
        <v>-0.72593381243900279</v>
      </c>
    </row>
    <row r="41" spans="1:6" ht="23.1" customHeight="1" x14ac:dyDescent="0.25">
      <c r="A41" s="83"/>
      <c r="B41" s="78" t="s">
        <v>97</v>
      </c>
      <c r="C41" s="79">
        <f>SUM(C38:C40)</f>
        <v>-1229374</v>
      </c>
      <c r="D41" s="79">
        <f>SUM(D38:D40)</f>
        <v>32483113</v>
      </c>
      <c r="E41" s="79">
        <f>D41-C41</f>
        <v>33712487</v>
      </c>
      <c r="F41" s="80">
        <f>IF(C41=0,0,E41/C41)</f>
        <v>-27.422482499223182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39720716</v>
      </c>
      <c r="D43" s="79">
        <f>D35+D41</f>
        <v>69014315</v>
      </c>
      <c r="E43" s="79">
        <f>D43-C43</f>
        <v>29293599</v>
      </c>
      <c r="F43" s="80">
        <f>IF(C43=0,0,E43/C43)</f>
        <v>0.73748919833167159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404190</v>
      </c>
      <c r="D46" s="76">
        <v>-660123</v>
      </c>
      <c r="E46" s="76">
        <f>D46-C46</f>
        <v>-1064313</v>
      </c>
      <c r="F46" s="77">
        <f>IF(C46=0,0,E46/C46)</f>
        <v>-2.6331997327989312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404190</v>
      </c>
      <c r="D48" s="79">
        <f>SUM(D46:D47)</f>
        <v>-660123</v>
      </c>
      <c r="E48" s="79">
        <f>D48-C48</f>
        <v>-1064313</v>
      </c>
      <c r="F48" s="80">
        <f>IF(C48=0,0,E48/C48)</f>
        <v>-2.6331997327989312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40124906</v>
      </c>
      <c r="D50" s="79">
        <f>D43+D48</f>
        <v>68354192</v>
      </c>
      <c r="E50" s="79">
        <f>D50-C50</f>
        <v>28229286</v>
      </c>
      <c r="F50" s="80">
        <f>IF(C50=0,0,E50/C50)</f>
        <v>0.70353525563399455</v>
      </c>
    </row>
    <row r="51" spans="1:6" ht="23.1" customHeight="1" x14ac:dyDescent="0.2">
      <c r="A51" s="85"/>
      <c r="B51" s="75" t="s">
        <v>104</v>
      </c>
      <c r="C51" s="76">
        <v>386964</v>
      </c>
      <c r="D51" s="76">
        <v>399931</v>
      </c>
      <c r="E51" s="76">
        <f>D51-C51</f>
        <v>12967</v>
      </c>
      <c r="F51" s="77">
        <f>IF(C51=0,0,E51/C51)</f>
        <v>3.3509577118284908E-2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6" orientation="portrait" horizontalDpi="1200" verticalDpi="1200" r:id="rId1"/>
  <headerFooter>
    <oddHeader>&amp;LOFFICE OF HEALTH CARE ACCESS&amp;CTWELVE MONTHS ACTUAL FILING&amp;RWILLIAM W. BACKUS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93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115970254</v>
      </c>
      <c r="D14" s="113">
        <v>109362454</v>
      </c>
      <c r="E14" s="113">
        <f t="shared" ref="E14:E25" si="0">D14-C14</f>
        <v>-6607800</v>
      </c>
      <c r="F14" s="114">
        <f t="shared" ref="F14:F25" si="1">IF(C14=0,0,E14/C14)</f>
        <v>-5.6978404134563676E-2</v>
      </c>
    </row>
    <row r="15" spans="1:6" x14ac:dyDescent="0.2">
      <c r="A15" s="115">
        <v>2</v>
      </c>
      <c r="B15" s="116" t="s">
        <v>114</v>
      </c>
      <c r="C15" s="113">
        <v>18911093</v>
      </c>
      <c r="D15" s="113">
        <v>20615749</v>
      </c>
      <c r="E15" s="113">
        <f t="shared" si="0"/>
        <v>1704656</v>
      </c>
      <c r="F15" s="114">
        <f t="shared" si="1"/>
        <v>9.0140532860792336E-2</v>
      </c>
    </row>
    <row r="16" spans="1:6" x14ac:dyDescent="0.2">
      <c r="A16" s="115">
        <v>3</v>
      </c>
      <c r="B16" s="116" t="s">
        <v>115</v>
      </c>
      <c r="C16" s="113">
        <v>44691115</v>
      </c>
      <c r="D16" s="113">
        <v>47665462</v>
      </c>
      <c r="E16" s="113">
        <f t="shared" si="0"/>
        <v>2974347</v>
      </c>
      <c r="F16" s="114">
        <f t="shared" si="1"/>
        <v>6.6553430139301734E-2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2468203</v>
      </c>
      <c r="D18" s="113">
        <v>2997430</v>
      </c>
      <c r="E18" s="113">
        <f t="shared" si="0"/>
        <v>529227</v>
      </c>
      <c r="F18" s="114">
        <f t="shared" si="1"/>
        <v>0.21441793888104019</v>
      </c>
    </row>
    <row r="19" spans="1:6" x14ac:dyDescent="0.2">
      <c r="A19" s="115">
        <v>6</v>
      </c>
      <c r="B19" s="116" t="s">
        <v>118</v>
      </c>
      <c r="C19" s="113">
        <v>4194185</v>
      </c>
      <c r="D19" s="113">
        <v>2371262</v>
      </c>
      <c r="E19" s="113">
        <f t="shared" si="0"/>
        <v>-1822923</v>
      </c>
      <c r="F19" s="114">
        <f t="shared" si="1"/>
        <v>-0.43463104274131925</v>
      </c>
    </row>
    <row r="20" spans="1:6" x14ac:dyDescent="0.2">
      <c r="A20" s="115">
        <v>7</v>
      </c>
      <c r="B20" s="116" t="s">
        <v>119</v>
      </c>
      <c r="C20" s="113">
        <v>55184438</v>
      </c>
      <c r="D20" s="113">
        <v>56619577</v>
      </c>
      <c r="E20" s="113">
        <f t="shared" si="0"/>
        <v>1435139</v>
      </c>
      <c r="F20" s="114">
        <f t="shared" si="1"/>
        <v>2.6006226610480295E-2</v>
      </c>
    </row>
    <row r="21" spans="1:6" x14ac:dyDescent="0.2">
      <c r="A21" s="115">
        <v>8</v>
      </c>
      <c r="B21" s="116" t="s">
        <v>120</v>
      </c>
      <c r="C21" s="113">
        <v>2905521</v>
      </c>
      <c r="D21" s="113">
        <v>3047022</v>
      </c>
      <c r="E21" s="113">
        <f t="shared" si="0"/>
        <v>141501</v>
      </c>
      <c r="F21" s="114">
        <f t="shared" si="1"/>
        <v>4.8700732157847079E-2</v>
      </c>
    </row>
    <row r="22" spans="1:6" x14ac:dyDescent="0.2">
      <c r="A22" s="115">
        <v>9</v>
      </c>
      <c r="B22" s="116" t="s">
        <v>121</v>
      </c>
      <c r="C22" s="113">
        <v>2087344</v>
      </c>
      <c r="D22" s="113">
        <v>2842924</v>
      </c>
      <c r="E22" s="113">
        <f t="shared" si="0"/>
        <v>755580</v>
      </c>
      <c r="F22" s="114">
        <f t="shared" si="1"/>
        <v>0.36198154209368461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2302802</v>
      </c>
      <c r="D24" s="113">
        <v>1353423</v>
      </c>
      <c r="E24" s="113">
        <f t="shared" si="0"/>
        <v>-949379</v>
      </c>
      <c r="F24" s="114">
        <f t="shared" si="1"/>
        <v>-0.41227122436058333</v>
      </c>
    </row>
    <row r="25" spans="1:6" ht="15.75" x14ac:dyDescent="0.25">
      <c r="A25" s="117"/>
      <c r="B25" s="118" t="s">
        <v>124</v>
      </c>
      <c r="C25" s="119">
        <f>SUM(C14:C24)</f>
        <v>248714955</v>
      </c>
      <c r="D25" s="119">
        <f>SUM(D14:D24)</f>
        <v>246875303</v>
      </c>
      <c r="E25" s="119">
        <f t="shared" si="0"/>
        <v>-1839652</v>
      </c>
      <c r="F25" s="120">
        <f t="shared" si="1"/>
        <v>-7.3966279993094904E-3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137140136</v>
      </c>
      <c r="D27" s="113">
        <v>154818131</v>
      </c>
      <c r="E27" s="113">
        <f t="shared" ref="E27:E38" si="2">D27-C27</f>
        <v>17677995</v>
      </c>
      <c r="F27" s="114">
        <f t="shared" ref="F27:F38" si="3">IF(C27=0,0,E27/C27)</f>
        <v>0.12890460455719543</v>
      </c>
    </row>
    <row r="28" spans="1:6" x14ac:dyDescent="0.2">
      <c r="A28" s="115">
        <v>2</v>
      </c>
      <c r="B28" s="116" t="s">
        <v>114</v>
      </c>
      <c r="C28" s="113">
        <v>32676546</v>
      </c>
      <c r="D28" s="113">
        <v>38502774</v>
      </c>
      <c r="E28" s="113">
        <f t="shared" si="2"/>
        <v>5826228</v>
      </c>
      <c r="F28" s="114">
        <f t="shared" si="3"/>
        <v>0.17829999535446617</v>
      </c>
    </row>
    <row r="29" spans="1:6" x14ac:dyDescent="0.2">
      <c r="A29" s="115">
        <v>3</v>
      </c>
      <c r="B29" s="116" t="s">
        <v>115</v>
      </c>
      <c r="C29" s="113">
        <v>113692625</v>
      </c>
      <c r="D29" s="113">
        <v>123803313</v>
      </c>
      <c r="E29" s="113">
        <f t="shared" si="2"/>
        <v>10110688</v>
      </c>
      <c r="F29" s="114">
        <f t="shared" si="3"/>
        <v>8.8930025144550937E-2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8574168</v>
      </c>
      <c r="D31" s="113">
        <v>9186160</v>
      </c>
      <c r="E31" s="113">
        <f t="shared" si="2"/>
        <v>611992</v>
      </c>
      <c r="F31" s="114">
        <f t="shared" si="3"/>
        <v>7.1376254815627593E-2</v>
      </c>
    </row>
    <row r="32" spans="1:6" x14ac:dyDescent="0.2">
      <c r="A32" s="115">
        <v>6</v>
      </c>
      <c r="B32" s="116" t="s">
        <v>118</v>
      </c>
      <c r="C32" s="113">
        <v>9565485</v>
      </c>
      <c r="D32" s="113">
        <v>10479148</v>
      </c>
      <c r="E32" s="113">
        <f t="shared" si="2"/>
        <v>913663</v>
      </c>
      <c r="F32" s="114">
        <f t="shared" si="3"/>
        <v>9.5516641341238842E-2</v>
      </c>
    </row>
    <row r="33" spans="1:6" x14ac:dyDescent="0.2">
      <c r="A33" s="115">
        <v>7</v>
      </c>
      <c r="B33" s="116" t="s">
        <v>119</v>
      </c>
      <c r="C33" s="113">
        <v>171030226</v>
      </c>
      <c r="D33" s="113">
        <v>184633331</v>
      </c>
      <c r="E33" s="113">
        <f t="shared" si="2"/>
        <v>13603105</v>
      </c>
      <c r="F33" s="114">
        <f t="shared" si="3"/>
        <v>7.9536262789011339E-2</v>
      </c>
    </row>
    <row r="34" spans="1:6" x14ac:dyDescent="0.2">
      <c r="A34" s="115">
        <v>8</v>
      </c>
      <c r="B34" s="116" t="s">
        <v>120</v>
      </c>
      <c r="C34" s="113">
        <v>5383585</v>
      </c>
      <c r="D34" s="113">
        <v>6045885</v>
      </c>
      <c r="E34" s="113">
        <f t="shared" si="2"/>
        <v>662300</v>
      </c>
      <c r="F34" s="114">
        <f t="shared" si="3"/>
        <v>0.12302211258854462</v>
      </c>
    </row>
    <row r="35" spans="1:6" x14ac:dyDescent="0.2">
      <c r="A35" s="115">
        <v>9</v>
      </c>
      <c r="B35" s="116" t="s">
        <v>121</v>
      </c>
      <c r="C35" s="113">
        <v>8869175</v>
      </c>
      <c r="D35" s="113">
        <v>10508130</v>
      </c>
      <c r="E35" s="113">
        <f t="shared" si="2"/>
        <v>1638955</v>
      </c>
      <c r="F35" s="114">
        <f t="shared" si="3"/>
        <v>0.18479227211099117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2956245</v>
      </c>
      <c r="D37" s="113">
        <v>3625114</v>
      </c>
      <c r="E37" s="113">
        <f t="shared" si="2"/>
        <v>668869</v>
      </c>
      <c r="F37" s="114">
        <f t="shared" si="3"/>
        <v>0.22625628119455593</v>
      </c>
    </row>
    <row r="38" spans="1:6" ht="15.75" x14ac:dyDescent="0.25">
      <c r="A38" s="117"/>
      <c r="B38" s="118" t="s">
        <v>126</v>
      </c>
      <c r="C38" s="119">
        <f>SUM(C27:C37)</f>
        <v>489888191</v>
      </c>
      <c r="D38" s="119">
        <f>SUM(D27:D37)</f>
        <v>541601986</v>
      </c>
      <c r="E38" s="119">
        <f t="shared" si="2"/>
        <v>51713795</v>
      </c>
      <c r="F38" s="120">
        <f t="shared" si="3"/>
        <v>0.10556244455380227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253110390</v>
      </c>
      <c r="D41" s="119">
        <f t="shared" si="4"/>
        <v>264180585</v>
      </c>
      <c r="E41" s="123">
        <f t="shared" ref="E41:E52" si="5">D41-C41</f>
        <v>11070195</v>
      </c>
      <c r="F41" s="124">
        <f t="shared" ref="F41:F52" si="6">IF(C41=0,0,E41/C41)</f>
        <v>4.373662811708362E-2</v>
      </c>
    </row>
    <row r="42" spans="1:6" ht="15.75" x14ac:dyDescent="0.25">
      <c r="A42" s="121">
        <v>2</v>
      </c>
      <c r="B42" s="122" t="s">
        <v>114</v>
      </c>
      <c r="C42" s="119">
        <f t="shared" si="4"/>
        <v>51587639</v>
      </c>
      <c r="D42" s="119">
        <f t="shared" si="4"/>
        <v>59118523</v>
      </c>
      <c r="E42" s="123">
        <f t="shared" si="5"/>
        <v>7530884</v>
      </c>
      <c r="F42" s="124">
        <f t="shared" si="6"/>
        <v>0.14598233503184746</v>
      </c>
    </row>
    <row r="43" spans="1:6" ht="15.75" x14ac:dyDescent="0.25">
      <c r="A43" s="121">
        <v>3</v>
      </c>
      <c r="B43" s="122" t="s">
        <v>115</v>
      </c>
      <c r="C43" s="119">
        <f t="shared" si="4"/>
        <v>158383740</v>
      </c>
      <c r="D43" s="119">
        <f t="shared" si="4"/>
        <v>171468775</v>
      </c>
      <c r="E43" s="123">
        <f t="shared" si="5"/>
        <v>13085035</v>
      </c>
      <c r="F43" s="124">
        <f t="shared" si="6"/>
        <v>8.2616024852046055E-2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11042371</v>
      </c>
      <c r="D45" s="119">
        <f t="shared" si="4"/>
        <v>12183590</v>
      </c>
      <c r="E45" s="123">
        <f t="shared" si="5"/>
        <v>1141219</v>
      </c>
      <c r="F45" s="124">
        <f t="shared" si="6"/>
        <v>0.10334909051688265</v>
      </c>
    </row>
    <row r="46" spans="1:6" ht="15.75" x14ac:dyDescent="0.25">
      <c r="A46" s="121">
        <v>6</v>
      </c>
      <c r="B46" s="122" t="s">
        <v>118</v>
      </c>
      <c r="C46" s="119">
        <f t="shared" si="4"/>
        <v>13759670</v>
      </c>
      <c r="D46" s="119">
        <f t="shared" si="4"/>
        <v>12850410</v>
      </c>
      <c r="E46" s="123">
        <f t="shared" si="5"/>
        <v>-909260</v>
      </c>
      <c r="F46" s="124">
        <f t="shared" si="6"/>
        <v>-6.6081526664520301E-2</v>
      </c>
    </row>
    <row r="47" spans="1:6" ht="15.75" x14ac:dyDescent="0.25">
      <c r="A47" s="121">
        <v>7</v>
      </c>
      <c r="B47" s="122" t="s">
        <v>119</v>
      </c>
      <c r="C47" s="119">
        <f t="shared" si="4"/>
        <v>226214664</v>
      </c>
      <c r="D47" s="119">
        <f t="shared" si="4"/>
        <v>241252908</v>
      </c>
      <c r="E47" s="123">
        <f t="shared" si="5"/>
        <v>15038244</v>
      </c>
      <c r="F47" s="124">
        <f t="shared" si="6"/>
        <v>6.6477759372840659E-2</v>
      </c>
    </row>
    <row r="48" spans="1:6" ht="15.75" x14ac:dyDescent="0.25">
      <c r="A48" s="121">
        <v>8</v>
      </c>
      <c r="B48" s="122" t="s">
        <v>120</v>
      </c>
      <c r="C48" s="119">
        <f t="shared" si="4"/>
        <v>8289106</v>
      </c>
      <c r="D48" s="119">
        <f t="shared" si="4"/>
        <v>9092907</v>
      </c>
      <c r="E48" s="123">
        <f t="shared" si="5"/>
        <v>803801</v>
      </c>
      <c r="F48" s="124">
        <f t="shared" si="6"/>
        <v>9.6970771033691686E-2</v>
      </c>
    </row>
    <row r="49" spans="1:6" ht="15.75" x14ac:dyDescent="0.25">
      <c r="A49" s="121">
        <v>9</v>
      </c>
      <c r="B49" s="122" t="s">
        <v>121</v>
      </c>
      <c r="C49" s="119">
        <f t="shared" si="4"/>
        <v>10956519</v>
      </c>
      <c r="D49" s="119">
        <f t="shared" si="4"/>
        <v>13351054</v>
      </c>
      <c r="E49" s="123">
        <f t="shared" si="5"/>
        <v>2394535</v>
      </c>
      <c r="F49" s="124">
        <f t="shared" si="6"/>
        <v>0.21854888400230035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5259047</v>
      </c>
      <c r="D51" s="119">
        <f t="shared" si="4"/>
        <v>4978537</v>
      </c>
      <c r="E51" s="123">
        <f t="shared" si="5"/>
        <v>-280510</v>
      </c>
      <c r="F51" s="124">
        <f t="shared" si="6"/>
        <v>-5.33385611499574E-2</v>
      </c>
    </row>
    <row r="52" spans="1:6" ht="18.75" customHeight="1" thickBot="1" x14ac:dyDescent="0.3">
      <c r="A52" s="125"/>
      <c r="B52" s="126" t="s">
        <v>128</v>
      </c>
      <c r="C52" s="127">
        <f>SUM(C41:C51)</f>
        <v>738603146</v>
      </c>
      <c r="D52" s="128">
        <f>SUM(D41:D51)</f>
        <v>788477289</v>
      </c>
      <c r="E52" s="127">
        <f t="shared" si="5"/>
        <v>49874143</v>
      </c>
      <c r="F52" s="129">
        <f t="shared" si="6"/>
        <v>6.7524953380038819E-2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51455512</v>
      </c>
      <c r="D57" s="113">
        <v>48748803</v>
      </c>
      <c r="E57" s="113">
        <f t="shared" ref="E57:E68" si="7">D57-C57</f>
        <v>-2706709</v>
      </c>
      <c r="F57" s="114">
        <f t="shared" ref="F57:F68" si="8">IF(C57=0,0,E57/C57)</f>
        <v>-5.2602897042400433E-2</v>
      </c>
    </row>
    <row r="58" spans="1:6" x14ac:dyDescent="0.2">
      <c r="A58" s="115">
        <v>2</v>
      </c>
      <c r="B58" s="116" t="s">
        <v>114</v>
      </c>
      <c r="C58" s="113">
        <v>8044530</v>
      </c>
      <c r="D58" s="113">
        <v>8660245</v>
      </c>
      <c r="E58" s="113">
        <f t="shared" si="7"/>
        <v>615715</v>
      </c>
      <c r="F58" s="114">
        <f t="shared" si="8"/>
        <v>7.653834344579484E-2</v>
      </c>
    </row>
    <row r="59" spans="1:6" x14ac:dyDescent="0.2">
      <c r="A59" s="115">
        <v>3</v>
      </c>
      <c r="B59" s="116" t="s">
        <v>115</v>
      </c>
      <c r="C59" s="113">
        <v>13444325</v>
      </c>
      <c r="D59" s="113">
        <v>13845930</v>
      </c>
      <c r="E59" s="113">
        <f t="shared" si="7"/>
        <v>401605</v>
      </c>
      <c r="F59" s="114">
        <f t="shared" si="8"/>
        <v>2.9871711670165665E-2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946468</v>
      </c>
      <c r="D61" s="113">
        <v>1202114</v>
      </c>
      <c r="E61" s="113">
        <f t="shared" si="7"/>
        <v>255646</v>
      </c>
      <c r="F61" s="114">
        <f t="shared" si="8"/>
        <v>0.27010527561417819</v>
      </c>
    </row>
    <row r="62" spans="1:6" x14ac:dyDescent="0.2">
      <c r="A62" s="115">
        <v>6</v>
      </c>
      <c r="B62" s="116" t="s">
        <v>118</v>
      </c>
      <c r="C62" s="113">
        <v>3685257</v>
      </c>
      <c r="D62" s="113">
        <v>2007996</v>
      </c>
      <c r="E62" s="113">
        <f t="shared" si="7"/>
        <v>-1677261</v>
      </c>
      <c r="F62" s="114">
        <f t="shared" si="8"/>
        <v>-0.45512728148945919</v>
      </c>
    </row>
    <row r="63" spans="1:6" x14ac:dyDescent="0.2">
      <c r="A63" s="115">
        <v>7</v>
      </c>
      <c r="B63" s="116" t="s">
        <v>119</v>
      </c>
      <c r="C63" s="113">
        <v>41448856</v>
      </c>
      <c r="D63" s="113">
        <v>45262246</v>
      </c>
      <c r="E63" s="113">
        <f t="shared" si="7"/>
        <v>3813390</v>
      </c>
      <c r="F63" s="114">
        <f t="shared" si="8"/>
        <v>9.2002297964508359E-2</v>
      </c>
    </row>
    <row r="64" spans="1:6" x14ac:dyDescent="0.2">
      <c r="A64" s="115">
        <v>8</v>
      </c>
      <c r="B64" s="116" t="s">
        <v>120</v>
      </c>
      <c r="C64" s="113">
        <v>2495750</v>
      </c>
      <c r="D64" s="113">
        <v>2427043</v>
      </c>
      <c r="E64" s="113">
        <f t="shared" si="7"/>
        <v>-68707</v>
      </c>
      <c r="F64" s="114">
        <f t="shared" si="8"/>
        <v>-2.7529600320544925E-2</v>
      </c>
    </row>
    <row r="65" spans="1:6" x14ac:dyDescent="0.2">
      <c r="A65" s="115">
        <v>9</v>
      </c>
      <c r="B65" s="116" t="s">
        <v>121</v>
      </c>
      <c r="C65" s="113">
        <v>364512</v>
      </c>
      <c r="D65" s="113">
        <v>554029</v>
      </c>
      <c r="E65" s="113">
        <f t="shared" si="7"/>
        <v>189517</v>
      </c>
      <c r="F65" s="114">
        <f t="shared" si="8"/>
        <v>0.5199197831621456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564828</v>
      </c>
      <c r="D67" s="113">
        <v>448891</v>
      </c>
      <c r="E67" s="113">
        <f t="shared" si="7"/>
        <v>-115937</v>
      </c>
      <c r="F67" s="114">
        <f t="shared" si="8"/>
        <v>-0.2052607165367156</v>
      </c>
    </row>
    <row r="68" spans="1:6" ht="15.75" x14ac:dyDescent="0.25">
      <c r="A68" s="117"/>
      <c r="B68" s="118" t="s">
        <v>131</v>
      </c>
      <c r="C68" s="119">
        <f>SUM(C57:C67)</f>
        <v>122450038</v>
      </c>
      <c r="D68" s="119">
        <f>SUM(D57:D67)</f>
        <v>123157297</v>
      </c>
      <c r="E68" s="119">
        <f t="shared" si="7"/>
        <v>707259</v>
      </c>
      <c r="F68" s="120">
        <f t="shared" si="8"/>
        <v>5.7758985750580166E-3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31049066</v>
      </c>
      <c r="D70" s="113">
        <v>34659516</v>
      </c>
      <c r="E70" s="113">
        <f t="shared" ref="E70:E81" si="9">D70-C70</f>
        <v>3610450</v>
      </c>
      <c r="F70" s="114">
        <f t="shared" ref="F70:F81" si="10">IF(C70=0,0,E70/C70)</f>
        <v>0.11628208075566589</v>
      </c>
    </row>
    <row r="71" spans="1:6" x14ac:dyDescent="0.2">
      <c r="A71" s="115">
        <v>2</v>
      </c>
      <c r="B71" s="116" t="s">
        <v>114</v>
      </c>
      <c r="C71" s="113">
        <v>7459870</v>
      </c>
      <c r="D71" s="113">
        <v>8276962</v>
      </c>
      <c r="E71" s="113">
        <f t="shared" si="9"/>
        <v>817092</v>
      </c>
      <c r="F71" s="114">
        <f t="shared" si="10"/>
        <v>0.10953166744192593</v>
      </c>
    </row>
    <row r="72" spans="1:6" x14ac:dyDescent="0.2">
      <c r="A72" s="115">
        <v>3</v>
      </c>
      <c r="B72" s="116" t="s">
        <v>115</v>
      </c>
      <c r="C72" s="113">
        <v>19412267</v>
      </c>
      <c r="D72" s="113">
        <v>23912127</v>
      </c>
      <c r="E72" s="113">
        <f t="shared" si="9"/>
        <v>4499860</v>
      </c>
      <c r="F72" s="114">
        <f t="shared" si="10"/>
        <v>0.23180497156772056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2307600</v>
      </c>
      <c r="D74" s="113">
        <v>2219792</v>
      </c>
      <c r="E74" s="113">
        <f t="shared" si="9"/>
        <v>-87808</v>
      </c>
      <c r="F74" s="114">
        <f t="shared" si="10"/>
        <v>-3.8051655399549314E-2</v>
      </c>
    </row>
    <row r="75" spans="1:6" x14ac:dyDescent="0.2">
      <c r="A75" s="115">
        <v>6</v>
      </c>
      <c r="B75" s="116" t="s">
        <v>118</v>
      </c>
      <c r="C75" s="113">
        <v>7500484</v>
      </c>
      <c r="D75" s="113">
        <v>7693194</v>
      </c>
      <c r="E75" s="113">
        <f t="shared" si="9"/>
        <v>192710</v>
      </c>
      <c r="F75" s="114">
        <f t="shared" si="10"/>
        <v>2.5693008611177626E-2</v>
      </c>
    </row>
    <row r="76" spans="1:6" x14ac:dyDescent="0.2">
      <c r="A76" s="115">
        <v>7</v>
      </c>
      <c r="B76" s="116" t="s">
        <v>119</v>
      </c>
      <c r="C76" s="113">
        <v>99893070</v>
      </c>
      <c r="D76" s="113">
        <v>107158720</v>
      </c>
      <c r="E76" s="113">
        <f t="shared" si="9"/>
        <v>7265650</v>
      </c>
      <c r="F76" s="114">
        <f t="shared" si="10"/>
        <v>7.2734274760000869E-2</v>
      </c>
    </row>
    <row r="77" spans="1:6" x14ac:dyDescent="0.2">
      <c r="A77" s="115">
        <v>8</v>
      </c>
      <c r="B77" s="116" t="s">
        <v>120</v>
      </c>
      <c r="C77" s="113">
        <v>4390861</v>
      </c>
      <c r="D77" s="113">
        <v>3542522</v>
      </c>
      <c r="E77" s="113">
        <f t="shared" si="9"/>
        <v>-848339</v>
      </c>
      <c r="F77" s="114">
        <f t="shared" si="10"/>
        <v>-0.19320561502630121</v>
      </c>
    </row>
    <row r="78" spans="1:6" x14ac:dyDescent="0.2">
      <c r="A78" s="115">
        <v>9</v>
      </c>
      <c r="B78" s="116" t="s">
        <v>121</v>
      </c>
      <c r="C78" s="113">
        <v>1431552</v>
      </c>
      <c r="D78" s="113">
        <v>1453376</v>
      </c>
      <c r="E78" s="113">
        <f t="shared" si="9"/>
        <v>21824</v>
      </c>
      <c r="F78" s="114">
        <f t="shared" si="10"/>
        <v>1.5244992846924177E-2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735727</v>
      </c>
      <c r="D80" s="113">
        <v>848955</v>
      </c>
      <c r="E80" s="113">
        <f t="shared" si="9"/>
        <v>113228</v>
      </c>
      <c r="F80" s="114">
        <f t="shared" si="10"/>
        <v>0.15389947630031248</v>
      </c>
    </row>
    <row r="81" spans="1:6" ht="15.75" x14ac:dyDescent="0.25">
      <c r="A81" s="117"/>
      <c r="B81" s="118" t="s">
        <v>133</v>
      </c>
      <c r="C81" s="119">
        <f>SUM(C70:C80)</f>
        <v>174180497</v>
      </c>
      <c r="D81" s="119">
        <f>SUM(D70:D80)</f>
        <v>189765164</v>
      </c>
      <c r="E81" s="119">
        <f t="shared" si="9"/>
        <v>15584667</v>
      </c>
      <c r="F81" s="120">
        <f t="shared" si="10"/>
        <v>8.9474236601816567E-2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82504578</v>
      </c>
      <c r="D84" s="119">
        <f t="shared" si="11"/>
        <v>83408319</v>
      </c>
      <c r="E84" s="119">
        <f t="shared" ref="E84:E95" si="12">D84-C84</f>
        <v>903741</v>
      </c>
      <c r="F84" s="120">
        <f t="shared" ref="F84:F95" si="13">IF(C84=0,0,E84/C84)</f>
        <v>1.0953828525733445E-2</v>
      </c>
    </row>
    <row r="85" spans="1:6" ht="15.75" x14ac:dyDescent="0.25">
      <c r="A85" s="130">
        <v>2</v>
      </c>
      <c r="B85" s="122" t="s">
        <v>114</v>
      </c>
      <c r="C85" s="119">
        <f t="shared" si="11"/>
        <v>15504400</v>
      </c>
      <c r="D85" s="119">
        <f t="shared" si="11"/>
        <v>16937207</v>
      </c>
      <c r="E85" s="119">
        <f t="shared" si="12"/>
        <v>1432807</v>
      </c>
      <c r="F85" s="120">
        <f t="shared" si="13"/>
        <v>9.241292794303553E-2</v>
      </c>
    </row>
    <row r="86" spans="1:6" ht="15.75" x14ac:dyDescent="0.25">
      <c r="A86" s="130">
        <v>3</v>
      </c>
      <c r="B86" s="122" t="s">
        <v>115</v>
      </c>
      <c r="C86" s="119">
        <f t="shared" si="11"/>
        <v>32856592</v>
      </c>
      <c r="D86" s="119">
        <f t="shared" si="11"/>
        <v>37758057</v>
      </c>
      <c r="E86" s="119">
        <f t="shared" si="12"/>
        <v>4901465</v>
      </c>
      <c r="F86" s="120">
        <f t="shared" si="13"/>
        <v>0.14917752273272894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3254068</v>
      </c>
      <c r="D88" s="119">
        <f t="shared" si="11"/>
        <v>3421906</v>
      </c>
      <c r="E88" s="119">
        <f t="shared" si="12"/>
        <v>167838</v>
      </c>
      <c r="F88" s="120">
        <f t="shared" si="13"/>
        <v>5.1577901875437142E-2</v>
      </c>
    </row>
    <row r="89" spans="1:6" ht="15.75" x14ac:dyDescent="0.25">
      <c r="A89" s="130">
        <v>6</v>
      </c>
      <c r="B89" s="122" t="s">
        <v>118</v>
      </c>
      <c r="C89" s="119">
        <f t="shared" si="11"/>
        <v>11185741</v>
      </c>
      <c r="D89" s="119">
        <f t="shared" si="11"/>
        <v>9701190</v>
      </c>
      <c r="E89" s="119">
        <f t="shared" si="12"/>
        <v>-1484551</v>
      </c>
      <c r="F89" s="120">
        <f t="shared" si="13"/>
        <v>-0.13271816324014654</v>
      </c>
    </row>
    <row r="90" spans="1:6" ht="15.75" x14ac:dyDescent="0.25">
      <c r="A90" s="130">
        <v>7</v>
      </c>
      <c r="B90" s="122" t="s">
        <v>119</v>
      </c>
      <c r="C90" s="119">
        <f t="shared" si="11"/>
        <v>141341926</v>
      </c>
      <c r="D90" s="119">
        <f t="shared" si="11"/>
        <v>152420966</v>
      </c>
      <c r="E90" s="119">
        <f t="shared" si="12"/>
        <v>11079040</v>
      </c>
      <c r="F90" s="120">
        <f t="shared" si="13"/>
        <v>7.8384668396269064E-2</v>
      </c>
    </row>
    <row r="91" spans="1:6" ht="15.75" x14ac:dyDescent="0.25">
      <c r="A91" s="130">
        <v>8</v>
      </c>
      <c r="B91" s="122" t="s">
        <v>120</v>
      </c>
      <c r="C91" s="119">
        <f t="shared" si="11"/>
        <v>6886611</v>
      </c>
      <c r="D91" s="119">
        <f t="shared" si="11"/>
        <v>5969565</v>
      </c>
      <c r="E91" s="119">
        <f t="shared" si="12"/>
        <v>-917046</v>
      </c>
      <c r="F91" s="120">
        <f t="shared" si="13"/>
        <v>-0.13316361269715976</v>
      </c>
    </row>
    <row r="92" spans="1:6" ht="15.75" x14ac:dyDescent="0.25">
      <c r="A92" s="130">
        <v>9</v>
      </c>
      <c r="B92" s="122" t="s">
        <v>121</v>
      </c>
      <c r="C92" s="119">
        <f t="shared" si="11"/>
        <v>1796064</v>
      </c>
      <c r="D92" s="119">
        <f t="shared" si="11"/>
        <v>2007405</v>
      </c>
      <c r="E92" s="119">
        <f t="shared" si="12"/>
        <v>211341</v>
      </c>
      <c r="F92" s="120">
        <f t="shared" si="13"/>
        <v>0.11766896947992944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1300555</v>
      </c>
      <c r="D94" s="119">
        <f t="shared" si="11"/>
        <v>1297846</v>
      </c>
      <c r="E94" s="119">
        <f t="shared" si="12"/>
        <v>-2709</v>
      </c>
      <c r="F94" s="120">
        <f t="shared" si="13"/>
        <v>-2.0829568914809446E-3</v>
      </c>
    </row>
    <row r="95" spans="1:6" ht="18.75" customHeight="1" thickBot="1" x14ac:dyDescent="0.3">
      <c r="A95" s="131"/>
      <c r="B95" s="132" t="s">
        <v>134</v>
      </c>
      <c r="C95" s="128">
        <f>SUM(C84:C94)</f>
        <v>296630535</v>
      </c>
      <c r="D95" s="128">
        <f>SUM(D84:D94)</f>
        <v>312922461</v>
      </c>
      <c r="E95" s="128">
        <f t="shared" si="12"/>
        <v>16291926</v>
      </c>
      <c r="F95" s="129">
        <f t="shared" si="13"/>
        <v>5.4923293719576105E-2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4330</v>
      </c>
      <c r="D100" s="133">
        <v>4010</v>
      </c>
      <c r="E100" s="133">
        <f t="shared" ref="E100:E111" si="14">D100-C100</f>
        <v>-320</v>
      </c>
      <c r="F100" s="114">
        <f t="shared" ref="F100:F111" si="15">IF(C100=0,0,E100/C100)</f>
        <v>-7.3903002309468821E-2</v>
      </c>
    </row>
    <row r="101" spans="1:6" x14ac:dyDescent="0.2">
      <c r="A101" s="115">
        <v>2</v>
      </c>
      <c r="B101" s="116" t="s">
        <v>114</v>
      </c>
      <c r="C101" s="133">
        <v>695</v>
      </c>
      <c r="D101" s="133">
        <v>763</v>
      </c>
      <c r="E101" s="133">
        <f t="shared" si="14"/>
        <v>68</v>
      </c>
      <c r="F101" s="114">
        <f t="shared" si="15"/>
        <v>9.7841726618705036E-2</v>
      </c>
    </row>
    <row r="102" spans="1:6" x14ac:dyDescent="0.2">
      <c r="A102" s="115">
        <v>3</v>
      </c>
      <c r="B102" s="116" t="s">
        <v>115</v>
      </c>
      <c r="C102" s="133">
        <v>2528</v>
      </c>
      <c r="D102" s="133">
        <v>2568</v>
      </c>
      <c r="E102" s="133">
        <f t="shared" si="14"/>
        <v>40</v>
      </c>
      <c r="F102" s="114">
        <f t="shared" si="15"/>
        <v>1.5822784810126583E-2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212</v>
      </c>
      <c r="D104" s="133">
        <v>239</v>
      </c>
      <c r="E104" s="133">
        <f t="shared" si="14"/>
        <v>27</v>
      </c>
      <c r="F104" s="114">
        <f t="shared" si="15"/>
        <v>0.12735849056603774</v>
      </c>
    </row>
    <row r="105" spans="1:6" x14ac:dyDescent="0.2">
      <c r="A105" s="115">
        <v>6</v>
      </c>
      <c r="B105" s="116" t="s">
        <v>118</v>
      </c>
      <c r="C105" s="133">
        <v>144</v>
      </c>
      <c r="D105" s="133">
        <v>105</v>
      </c>
      <c r="E105" s="133">
        <f t="shared" si="14"/>
        <v>-39</v>
      </c>
      <c r="F105" s="114">
        <f t="shared" si="15"/>
        <v>-0.27083333333333331</v>
      </c>
    </row>
    <row r="106" spans="1:6" x14ac:dyDescent="0.2">
      <c r="A106" s="115">
        <v>7</v>
      </c>
      <c r="B106" s="116" t="s">
        <v>119</v>
      </c>
      <c r="C106" s="133">
        <v>2614</v>
      </c>
      <c r="D106" s="133">
        <v>2665</v>
      </c>
      <c r="E106" s="133">
        <f t="shared" si="14"/>
        <v>51</v>
      </c>
      <c r="F106" s="114">
        <f t="shared" si="15"/>
        <v>1.9510328997704666E-2</v>
      </c>
    </row>
    <row r="107" spans="1:6" x14ac:dyDescent="0.2">
      <c r="A107" s="115">
        <v>8</v>
      </c>
      <c r="B107" s="116" t="s">
        <v>120</v>
      </c>
      <c r="C107" s="133">
        <v>93</v>
      </c>
      <c r="D107" s="133">
        <v>85</v>
      </c>
      <c r="E107" s="133">
        <f t="shared" si="14"/>
        <v>-8</v>
      </c>
      <c r="F107" s="114">
        <f t="shared" si="15"/>
        <v>-8.6021505376344093E-2</v>
      </c>
    </row>
    <row r="108" spans="1:6" x14ac:dyDescent="0.2">
      <c r="A108" s="115">
        <v>9</v>
      </c>
      <c r="B108" s="116" t="s">
        <v>121</v>
      </c>
      <c r="C108" s="133">
        <v>89</v>
      </c>
      <c r="D108" s="133">
        <v>112</v>
      </c>
      <c r="E108" s="133">
        <f t="shared" si="14"/>
        <v>23</v>
      </c>
      <c r="F108" s="114">
        <f t="shared" si="15"/>
        <v>0.25842696629213485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98</v>
      </c>
      <c r="D110" s="133">
        <v>60</v>
      </c>
      <c r="E110" s="133">
        <f t="shared" si="14"/>
        <v>-38</v>
      </c>
      <c r="F110" s="114">
        <f t="shared" si="15"/>
        <v>-0.38775510204081631</v>
      </c>
    </row>
    <row r="111" spans="1:6" ht="15.75" x14ac:dyDescent="0.25">
      <c r="A111" s="117"/>
      <c r="B111" s="118" t="s">
        <v>138</v>
      </c>
      <c r="C111" s="134">
        <f>SUM(C100:C110)</f>
        <v>10803</v>
      </c>
      <c r="D111" s="134">
        <f>SUM(D100:D110)</f>
        <v>10607</v>
      </c>
      <c r="E111" s="134">
        <f t="shared" si="14"/>
        <v>-196</v>
      </c>
      <c r="F111" s="120">
        <f t="shared" si="15"/>
        <v>-1.8143108395815979E-2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22557</v>
      </c>
      <c r="D113" s="133">
        <v>20568</v>
      </c>
      <c r="E113" s="133">
        <f t="shared" ref="E113:E124" si="16">D113-C113</f>
        <v>-1989</v>
      </c>
      <c r="F113" s="114">
        <f t="shared" ref="F113:F124" si="17">IF(C113=0,0,E113/C113)</f>
        <v>-8.8176619231280756E-2</v>
      </c>
    </row>
    <row r="114" spans="1:6" x14ac:dyDescent="0.2">
      <c r="A114" s="115">
        <v>2</v>
      </c>
      <c r="B114" s="116" t="s">
        <v>114</v>
      </c>
      <c r="C114" s="133">
        <v>3511</v>
      </c>
      <c r="D114" s="133">
        <v>3822</v>
      </c>
      <c r="E114" s="133">
        <f t="shared" si="16"/>
        <v>311</v>
      </c>
      <c r="F114" s="114">
        <f t="shared" si="17"/>
        <v>8.857875249216747E-2</v>
      </c>
    </row>
    <row r="115" spans="1:6" x14ac:dyDescent="0.2">
      <c r="A115" s="115">
        <v>3</v>
      </c>
      <c r="B115" s="116" t="s">
        <v>115</v>
      </c>
      <c r="C115" s="133">
        <v>9794</v>
      </c>
      <c r="D115" s="133">
        <v>10694</v>
      </c>
      <c r="E115" s="133">
        <f t="shared" si="16"/>
        <v>900</v>
      </c>
      <c r="F115" s="114">
        <f t="shared" si="17"/>
        <v>9.1892995711660194E-2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539</v>
      </c>
      <c r="D117" s="133">
        <v>610</v>
      </c>
      <c r="E117" s="133">
        <f t="shared" si="16"/>
        <v>71</v>
      </c>
      <c r="F117" s="114">
        <f t="shared" si="17"/>
        <v>0.13172541743970315</v>
      </c>
    </row>
    <row r="118" spans="1:6" x14ac:dyDescent="0.2">
      <c r="A118" s="115">
        <v>6</v>
      </c>
      <c r="B118" s="116" t="s">
        <v>118</v>
      </c>
      <c r="C118" s="133">
        <v>603</v>
      </c>
      <c r="D118" s="133">
        <v>365</v>
      </c>
      <c r="E118" s="133">
        <f t="shared" si="16"/>
        <v>-238</v>
      </c>
      <c r="F118" s="114">
        <f t="shared" si="17"/>
        <v>-0.3946932006633499</v>
      </c>
    </row>
    <row r="119" spans="1:6" x14ac:dyDescent="0.2">
      <c r="A119" s="115">
        <v>7</v>
      </c>
      <c r="B119" s="116" t="s">
        <v>119</v>
      </c>
      <c r="C119" s="133">
        <v>9521</v>
      </c>
      <c r="D119" s="133">
        <v>9429</v>
      </c>
      <c r="E119" s="133">
        <f t="shared" si="16"/>
        <v>-92</v>
      </c>
      <c r="F119" s="114">
        <f t="shared" si="17"/>
        <v>-9.6628505409095677E-3</v>
      </c>
    </row>
    <row r="120" spans="1:6" x14ac:dyDescent="0.2">
      <c r="A120" s="115">
        <v>8</v>
      </c>
      <c r="B120" s="116" t="s">
        <v>120</v>
      </c>
      <c r="C120" s="133">
        <v>310</v>
      </c>
      <c r="D120" s="133">
        <v>249</v>
      </c>
      <c r="E120" s="133">
        <f t="shared" si="16"/>
        <v>-61</v>
      </c>
      <c r="F120" s="114">
        <f t="shared" si="17"/>
        <v>-0.1967741935483871</v>
      </c>
    </row>
    <row r="121" spans="1:6" x14ac:dyDescent="0.2">
      <c r="A121" s="115">
        <v>9</v>
      </c>
      <c r="B121" s="116" t="s">
        <v>121</v>
      </c>
      <c r="C121" s="133">
        <v>459</v>
      </c>
      <c r="D121" s="133">
        <v>528</v>
      </c>
      <c r="E121" s="133">
        <f t="shared" si="16"/>
        <v>69</v>
      </c>
      <c r="F121" s="114">
        <f t="shared" si="17"/>
        <v>0.15032679738562091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625</v>
      </c>
      <c r="D123" s="133">
        <v>290</v>
      </c>
      <c r="E123" s="133">
        <f t="shared" si="16"/>
        <v>-335</v>
      </c>
      <c r="F123" s="114">
        <f t="shared" si="17"/>
        <v>-0.53600000000000003</v>
      </c>
    </row>
    <row r="124" spans="1:6" ht="15.75" x14ac:dyDescent="0.25">
      <c r="A124" s="117"/>
      <c r="B124" s="118" t="s">
        <v>140</v>
      </c>
      <c r="C124" s="134">
        <f>SUM(C113:C123)</f>
        <v>47919</v>
      </c>
      <c r="D124" s="134">
        <f>SUM(D113:D123)</f>
        <v>46555</v>
      </c>
      <c r="E124" s="134">
        <f t="shared" si="16"/>
        <v>-1364</v>
      </c>
      <c r="F124" s="120">
        <f t="shared" si="17"/>
        <v>-2.8464700849349944E-2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123809</v>
      </c>
      <c r="D126" s="133">
        <v>129362</v>
      </c>
      <c r="E126" s="133">
        <f t="shared" ref="E126:E137" si="18">D126-C126</f>
        <v>5553</v>
      </c>
      <c r="F126" s="114">
        <f t="shared" ref="F126:F137" si="19">IF(C126=0,0,E126/C126)</f>
        <v>4.4851343601838317E-2</v>
      </c>
    </row>
    <row r="127" spans="1:6" x14ac:dyDescent="0.2">
      <c r="A127" s="115">
        <v>2</v>
      </c>
      <c r="B127" s="116" t="s">
        <v>114</v>
      </c>
      <c r="C127" s="133">
        <v>17965</v>
      </c>
      <c r="D127" s="133">
        <v>19941</v>
      </c>
      <c r="E127" s="133">
        <f t="shared" si="18"/>
        <v>1976</v>
      </c>
      <c r="F127" s="114">
        <f t="shared" si="19"/>
        <v>0.10999165043139437</v>
      </c>
    </row>
    <row r="128" spans="1:6" x14ac:dyDescent="0.2">
      <c r="A128" s="115">
        <v>3</v>
      </c>
      <c r="B128" s="116" t="s">
        <v>115</v>
      </c>
      <c r="C128" s="133">
        <v>100074</v>
      </c>
      <c r="D128" s="133">
        <v>100764</v>
      </c>
      <c r="E128" s="133">
        <f t="shared" si="18"/>
        <v>690</v>
      </c>
      <c r="F128" s="114">
        <f t="shared" si="19"/>
        <v>6.8948977756460219E-3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7046</v>
      </c>
      <c r="D130" s="133">
        <v>7378</v>
      </c>
      <c r="E130" s="133">
        <f t="shared" si="18"/>
        <v>332</v>
      </c>
      <c r="F130" s="114">
        <f t="shared" si="19"/>
        <v>4.7118932727788818E-2</v>
      </c>
    </row>
    <row r="131" spans="1:6" x14ac:dyDescent="0.2">
      <c r="A131" s="115">
        <v>6</v>
      </c>
      <c r="B131" s="116" t="s">
        <v>118</v>
      </c>
      <c r="C131" s="133">
        <v>7462</v>
      </c>
      <c r="D131" s="133">
        <v>7193</v>
      </c>
      <c r="E131" s="133">
        <f t="shared" si="18"/>
        <v>-269</v>
      </c>
      <c r="F131" s="114">
        <f t="shared" si="19"/>
        <v>-3.6049316537121415E-2</v>
      </c>
    </row>
    <row r="132" spans="1:6" x14ac:dyDescent="0.2">
      <c r="A132" s="115">
        <v>7</v>
      </c>
      <c r="B132" s="116" t="s">
        <v>119</v>
      </c>
      <c r="C132" s="133">
        <v>162028</v>
      </c>
      <c r="D132" s="133">
        <v>167396</v>
      </c>
      <c r="E132" s="133">
        <f t="shared" si="18"/>
        <v>5368</v>
      </c>
      <c r="F132" s="114">
        <f t="shared" si="19"/>
        <v>3.3130076283111563E-2</v>
      </c>
    </row>
    <row r="133" spans="1:6" x14ac:dyDescent="0.2">
      <c r="A133" s="115">
        <v>8</v>
      </c>
      <c r="B133" s="116" t="s">
        <v>120</v>
      </c>
      <c r="C133" s="133">
        <v>4285</v>
      </c>
      <c r="D133" s="133">
        <v>4168</v>
      </c>
      <c r="E133" s="133">
        <f t="shared" si="18"/>
        <v>-117</v>
      </c>
      <c r="F133" s="114">
        <f t="shared" si="19"/>
        <v>-2.7304550758459743E-2</v>
      </c>
    </row>
    <row r="134" spans="1:6" x14ac:dyDescent="0.2">
      <c r="A134" s="115">
        <v>9</v>
      </c>
      <c r="B134" s="116" t="s">
        <v>121</v>
      </c>
      <c r="C134" s="133">
        <v>7231</v>
      </c>
      <c r="D134" s="133">
        <v>7775</v>
      </c>
      <c r="E134" s="133">
        <f t="shared" si="18"/>
        <v>544</v>
      </c>
      <c r="F134" s="114">
        <f t="shared" si="19"/>
        <v>7.5231641543355002E-2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1283</v>
      </c>
      <c r="D136" s="133">
        <v>1017</v>
      </c>
      <c r="E136" s="133">
        <f t="shared" si="18"/>
        <v>-266</v>
      </c>
      <c r="F136" s="114">
        <f t="shared" si="19"/>
        <v>-0.2073265783320343</v>
      </c>
    </row>
    <row r="137" spans="1:6" ht="15.75" x14ac:dyDescent="0.25">
      <c r="A137" s="117"/>
      <c r="B137" s="118" t="s">
        <v>142</v>
      </c>
      <c r="C137" s="134">
        <f>SUM(C126:C136)</f>
        <v>431183</v>
      </c>
      <c r="D137" s="134">
        <f>SUM(D126:D136)</f>
        <v>444994</v>
      </c>
      <c r="E137" s="134">
        <f t="shared" si="18"/>
        <v>13811</v>
      </c>
      <c r="F137" s="120">
        <f t="shared" si="19"/>
        <v>3.2030483576578853E-2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31681895</v>
      </c>
      <c r="D142" s="113">
        <v>34779776</v>
      </c>
      <c r="E142" s="113">
        <f t="shared" ref="E142:E153" si="20">D142-C142</f>
        <v>3097881</v>
      </c>
      <c r="F142" s="114">
        <f t="shared" ref="F142:F153" si="21">IF(C142=0,0,E142/C142)</f>
        <v>9.7780798781133521E-2</v>
      </c>
    </row>
    <row r="143" spans="1:6" x14ac:dyDescent="0.2">
      <c r="A143" s="115">
        <v>2</v>
      </c>
      <c r="B143" s="116" t="s">
        <v>114</v>
      </c>
      <c r="C143" s="113">
        <v>5692989</v>
      </c>
      <c r="D143" s="113">
        <v>7049146</v>
      </c>
      <c r="E143" s="113">
        <f t="shared" si="20"/>
        <v>1356157</v>
      </c>
      <c r="F143" s="114">
        <f t="shared" si="21"/>
        <v>0.23821528550292298</v>
      </c>
    </row>
    <row r="144" spans="1:6" x14ac:dyDescent="0.2">
      <c r="A144" s="115">
        <v>3</v>
      </c>
      <c r="B144" s="116" t="s">
        <v>115</v>
      </c>
      <c r="C144" s="113">
        <v>54728713</v>
      </c>
      <c r="D144" s="113">
        <v>59913315</v>
      </c>
      <c r="E144" s="113">
        <f t="shared" si="20"/>
        <v>5184602</v>
      </c>
      <c r="F144" s="114">
        <f t="shared" si="21"/>
        <v>9.4732759383543336E-2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2880047</v>
      </c>
      <c r="D146" s="113">
        <v>3374065</v>
      </c>
      <c r="E146" s="113">
        <f t="shared" si="20"/>
        <v>494018</v>
      </c>
      <c r="F146" s="114">
        <f t="shared" si="21"/>
        <v>0.17153122848342406</v>
      </c>
    </row>
    <row r="147" spans="1:6" x14ac:dyDescent="0.2">
      <c r="A147" s="115">
        <v>6</v>
      </c>
      <c r="B147" s="116" t="s">
        <v>118</v>
      </c>
      <c r="C147" s="113">
        <v>3814777</v>
      </c>
      <c r="D147" s="113">
        <v>4331965</v>
      </c>
      <c r="E147" s="113">
        <f t="shared" si="20"/>
        <v>517188</v>
      </c>
      <c r="F147" s="114">
        <f t="shared" si="21"/>
        <v>0.13557489730068101</v>
      </c>
    </row>
    <row r="148" spans="1:6" x14ac:dyDescent="0.2">
      <c r="A148" s="115">
        <v>7</v>
      </c>
      <c r="B148" s="116" t="s">
        <v>119</v>
      </c>
      <c r="C148" s="113">
        <v>41139146</v>
      </c>
      <c r="D148" s="113">
        <v>45633945</v>
      </c>
      <c r="E148" s="113">
        <f t="shared" si="20"/>
        <v>4494799</v>
      </c>
      <c r="F148" s="114">
        <f t="shared" si="21"/>
        <v>0.10925844206877799</v>
      </c>
    </row>
    <row r="149" spans="1:6" x14ac:dyDescent="0.2">
      <c r="A149" s="115">
        <v>8</v>
      </c>
      <c r="B149" s="116" t="s">
        <v>120</v>
      </c>
      <c r="C149" s="113">
        <v>2116334</v>
      </c>
      <c r="D149" s="113">
        <v>2210217</v>
      </c>
      <c r="E149" s="113">
        <f t="shared" si="20"/>
        <v>93883</v>
      </c>
      <c r="F149" s="114">
        <f t="shared" si="21"/>
        <v>4.4361145263460307E-2</v>
      </c>
    </row>
    <row r="150" spans="1:6" x14ac:dyDescent="0.2">
      <c r="A150" s="115">
        <v>9</v>
      </c>
      <c r="B150" s="116" t="s">
        <v>121</v>
      </c>
      <c r="C150" s="113">
        <v>6256095</v>
      </c>
      <c r="D150" s="113">
        <v>7059327</v>
      </c>
      <c r="E150" s="113">
        <f t="shared" si="20"/>
        <v>803232</v>
      </c>
      <c r="F150" s="114">
        <f t="shared" si="21"/>
        <v>0.12839191220721552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1664830</v>
      </c>
      <c r="D152" s="113">
        <v>1799040</v>
      </c>
      <c r="E152" s="113">
        <f t="shared" si="20"/>
        <v>134210</v>
      </c>
      <c r="F152" s="114">
        <f t="shared" si="21"/>
        <v>8.0614837550981186E-2</v>
      </c>
    </row>
    <row r="153" spans="1:6" ht="33.75" customHeight="1" x14ac:dyDescent="0.25">
      <c r="A153" s="117"/>
      <c r="B153" s="118" t="s">
        <v>146</v>
      </c>
      <c r="C153" s="119">
        <f>SUM(C142:C152)</f>
        <v>149974826</v>
      </c>
      <c r="D153" s="119">
        <f>SUM(D142:D152)</f>
        <v>166150796</v>
      </c>
      <c r="E153" s="119">
        <f t="shared" si="20"/>
        <v>16175970</v>
      </c>
      <c r="F153" s="120">
        <f t="shared" si="21"/>
        <v>0.10785790143207101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7265211</v>
      </c>
      <c r="D155" s="113">
        <v>7507222</v>
      </c>
      <c r="E155" s="113">
        <f t="shared" ref="E155:E166" si="22">D155-C155</f>
        <v>242011</v>
      </c>
      <c r="F155" s="114">
        <f t="shared" ref="F155:F166" si="23">IF(C155=0,0,E155/C155)</f>
        <v>3.3310938939006725E-2</v>
      </c>
    </row>
    <row r="156" spans="1:6" x14ac:dyDescent="0.2">
      <c r="A156" s="115">
        <v>2</v>
      </c>
      <c r="B156" s="116" t="s">
        <v>114</v>
      </c>
      <c r="C156" s="113">
        <v>1377879</v>
      </c>
      <c r="D156" s="113">
        <v>1536245</v>
      </c>
      <c r="E156" s="113">
        <f t="shared" si="22"/>
        <v>158366</v>
      </c>
      <c r="F156" s="114">
        <f t="shared" si="23"/>
        <v>0.11493462052908855</v>
      </c>
    </row>
    <row r="157" spans="1:6" x14ac:dyDescent="0.2">
      <c r="A157" s="115">
        <v>3</v>
      </c>
      <c r="B157" s="116" t="s">
        <v>115</v>
      </c>
      <c r="C157" s="113">
        <v>10079031</v>
      </c>
      <c r="D157" s="113">
        <v>10967586</v>
      </c>
      <c r="E157" s="113">
        <f t="shared" si="22"/>
        <v>888555</v>
      </c>
      <c r="F157" s="114">
        <f t="shared" si="23"/>
        <v>8.8158772405799724E-2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799873</v>
      </c>
      <c r="D159" s="113">
        <v>899964</v>
      </c>
      <c r="E159" s="113">
        <f t="shared" si="22"/>
        <v>100091</v>
      </c>
      <c r="F159" s="114">
        <f t="shared" si="23"/>
        <v>0.12513361496137512</v>
      </c>
    </row>
    <row r="160" spans="1:6" x14ac:dyDescent="0.2">
      <c r="A160" s="115">
        <v>6</v>
      </c>
      <c r="B160" s="116" t="s">
        <v>118</v>
      </c>
      <c r="C160" s="113">
        <v>3055614</v>
      </c>
      <c r="D160" s="113">
        <v>3383107</v>
      </c>
      <c r="E160" s="113">
        <f t="shared" si="22"/>
        <v>327493</v>
      </c>
      <c r="F160" s="114">
        <f t="shared" si="23"/>
        <v>0.10717747725988951</v>
      </c>
    </row>
    <row r="161" spans="1:6" x14ac:dyDescent="0.2">
      <c r="A161" s="115">
        <v>7</v>
      </c>
      <c r="B161" s="116" t="s">
        <v>119</v>
      </c>
      <c r="C161" s="113">
        <v>31973262</v>
      </c>
      <c r="D161" s="113">
        <v>36818367</v>
      </c>
      <c r="E161" s="113">
        <f t="shared" si="22"/>
        <v>4845105</v>
      </c>
      <c r="F161" s="114">
        <f t="shared" si="23"/>
        <v>0.15153614917364391</v>
      </c>
    </row>
    <row r="162" spans="1:6" x14ac:dyDescent="0.2">
      <c r="A162" s="115">
        <v>8</v>
      </c>
      <c r="B162" s="116" t="s">
        <v>120</v>
      </c>
      <c r="C162" s="113">
        <v>1828698</v>
      </c>
      <c r="D162" s="113">
        <v>1601877</v>
      </c>
      <c r="E162" s="113">
        <f t="shared" si="22"/>
        <v>-226821</v>
      </c>
      <c r="F162" s="114">
        <f t="shared" si="23"/>
        <v>-0.12403414888625677</v>
      </c>
    </row>
    <row r="163" spans="1:6" x14ac:dyDescent="0.2">
      <c r="A163" s="115">
        <v>9</v>
      </c>
      <c r="B163" s="116" t="s">
        <v>121</v>
      </c>
      <c r="C163" s="113">
        <v>1009781</v>
      </c>
      <c r="D163" s="113">
        <v>976133</v>
      </c>
      <c r="E163" s="113">
        <f t="shared" si="22"/>
        <v>-33648</v>
      </c>
      <c r="F163" s="114">
        <f t="shared" si="23"/>
        <v>-3.33220767671406E-2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325881</v>
      </c>
      <c r="D165" s="113">
        <v>397760</v>
      </c>
      <c r="E165" s="113">
        <f t="shared" si="22"/>
        <v>71879</v>
      </c>
      <c r="F165" s="114">
        <f t="shared" si="23"/>
        <v>0.22056824423639304</v>
      </c>
    </row>
    <row r="166" spans="1:6" ht="33.75" customHeight="1" x14ac:dyDescent="0.25">
      <c r="A166" s="117"/>
      <c r="B166" s="118" t="s">
        <v>148</v>
      </c>
      <c r="C166" s="119">
        <f>SUM(C155:C165)</f>
        <v>57715230</v>
      </c>
      <c r="D166" s="119">
        <f>SUM(D155:D165)</f>
        <v>64088261</v>
      </c>
      <c r="E166" s="119">
        <f t="shared" si="22"/>
        <v>6373031</v>
      </c>
      <c r="F166" s="120">
        <f t="shared" si="23"/>
        <v>0.11042199779850137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12023</v>
      </c>
      <c r="D168" s="133">
        <v>12025</v>
      </c>
      <c r="E168" s="133">
        <f t="shared" ref="E168:E179" si="24">D168-C168</f>
        <v>2</v>
      </c>
      <c r="F168" s="114">
        <f t="shared" ref="F168:F179" si="25">IF(C168=0,0,E168/C168)</f>
        <v>1.66347833319471E-4</v>
      </c>
    </row>
    <row r="169" spans="1:6" x14ac:dyDescent="0.2">
      <c r="A169" s="115">
        <v>2</v>
      </c>
      <c r="B169" s="116" t="s">
        <v>114</v>
      </c>
      <c r="C169" s="133">
        <v>2107</v>
      </c>
      <c r="D169" s="133">
        <v>2160</v>
      </c>
      <c r="E169" s="133">
        <f t="shared" si="24"/>
        <v>53</v>
      </c>
      <c r="F169" s="114">
        <f t="shared" si="25"/>
        <v>2.5154247745609874E-2</v>
      </c>
    </row>
    <row r="170" spans="1:6" x14ac:dyDescent="0.2">
      <c r="A170" s="115">
        <v>3</v>
      </c>
      <c r="B170" s="116" t="s">
        <v>115</v>
      </c>
      <c r="C170" s="133">
        <v>31199</v>
      </c>
      <c r="D170" s="133">
        <v>29886</v>
      </c>
      <c r="E170" s="133">
        <f t="shared" si="24"/>
        <v>-1313</v>
      </c>
      <c r="F170" s="114">
        <f t="shared" si="25"/>
        <v>-4.2084682201352606E-2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1551</v>
      </c>
      <c r="D172" s="133">
        <v>1618</v>
      </c>
      <c r="E172" s="133">
        <f t="shared" si="24"/>
        <v>67</v>
      </c>
      <c r="F172" s="114">
        <f t="shared" si="25"/>
        <v>4.3197936814958093E-2</v>
      </c>
    </row>
    <row r="173" spans="1:6" x14ac:dyDescent="0.2">
      <c r="A173" s="115">
        <v>6</v>
      </c>
      <c r="B173" s="116" t="s">
        <v>118</v>
      </c>
      <c r="C173" s="133">
        <v>1697</v>
      </c>
      <c r="D173" s="133">
        <v>1604</v>
      </c>
      <c r="E173" s="133">
        <f t="shared" si="24"/>
        <v>-93</v>
      </c>
      <c r="F173" s="114">
        <f t="shared" si="25"/>
        <v>-5.4802592810842661E-2</v>
      </c>
    </row>
    <row r="174" spans="1:6" x14ac:dyDescent="0.2">
      <c r="A174" s="115">
        <v>7</v>
      </c>
      <c r="B174" s="116" t="s">
        <v>119</v>
      </c>
      <c r="C174" s="133">
        <v>19542</v>
      </c>
      <c r="D174" s="133">
        <v>19192</v>
      </c>
      <c r="E174" s="133">
        <f t="shared" si="24"/>
        <v>-350</v>
      </c>
      <c r="F174" s="114">
        <f t="shared" si="25"/>
        <v>-1.7910142257701361E-2</v>
      </c>
    </row>
    <row r="175" spans="1:6" x14ac:dyDescent="0.2">
      <c r="A175" s="115">
        <v>8</v>
      </c>
      <c r="B175" s="116" t="s">
        <v>120</v>
      </c>
      <c r="C175" s="133">
        <v>1337</v>
      </c>
      <c r="D175" s="133">
        <v>1232</v>
      </c>
      <c r="E175" s="133">
        <f t="shared" si="24"/>
        <v>-105</v>
      </c>
      <c r="F175" s="114">
        <f t="shared" si="25"/>
        <v>-7.8534031413612565E-2</v>
      </c>
    </row>
    <row r="176" spans="1:6" x14ac:dyDescent="0.2">
      <c r="A176" s="115">
        <v>9</v>
      </c>
      <c r="B176" s="116" t="s">
        <v>121</v>
      </c>
      <c r="C176" s="133">
        <v>3383</v>
      </c>
      <c r="D176" s="133">
        <v>3466</v>
      </c>
      <c r="E176" s="133">
        <f t="shared" si="24"/>
        <v>83</v>
      </c>
      <c r="F176" s="114">
        <f t="shared" si="25"/>
        <v>2.4534436890334022E-2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538</v>
      </c>
      <c r="D178" s="133">
        <v>674</v>
      </c>
      <c r="E178" s="133">
        <f t="shared" si="24"/>
        <v>136</v>
      </c>
      <c r="F178" s="114">
        <f t="shared" si="25"/>
        <v>0.25278810408921931</v>
      </c>
    </row>
    <row r="179" spans="1:6" ht="33.75" customHeight="1" x14ac:dyDescent="0.25">
      <c r="A179" s="117"/>
      <c r="B179" s="118" t="s">
        <v>150</v>
      </c>
      <c r="C179" s="134">
        <f>SUM(C168:C178)</f>
        <v>73377</v>
      </c>
      <c r="D179" s="134">
        <f>SUM(D168:D178)</f>
        <v>71857</v>
      </c>
      <c r="E179" s="134">
        <f t="shared" si="24"/>
        <v>-1520</v>
      </c>
      <c r="F179" s="120">
        <f t="shared" si="25"/>
        <v>-2.0714937923327473E-2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FILING&amp;RWILLIAM W. BACKUS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8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36651849</v>
      </c>
      <c r="D15" s="157">
        <v>36817884</v>
      </c>
      <c r="E15" s="157">
        <f>+D15-C15</f>
        <v>166035</v>
      </c>
      <c r="F15" s="161">
        <f>IF(C15=0,0,E15/C15)</f>
        <v>4.5300579515101681E-3</v>
      </c>
    </row>
    <row r="16" spans="1:6" ht="15" customHeight="1" x14ac:dyDescent="0.2">
      <c r="A16" s="147">
        <v>2</v>
      </c>
      <c r="B16" s="160" t="s">
        <v>157</v>
      </c>
      <c r="C16" s="157">
        <v>13820490</v>
      </c>
      <c r="D16" s="157">
        <v>13424880</v>
      </c>
      <c r="E16" s="157">
        <f>+D16-C16</f>
        <v>-395610</v>
      </c>
      <c r="F16" s="161">
        <f>IF(C16=0,0,E16/C16)</f>
        <v>-2.8624889566144181E-2</v>
      </c>
    </row>
    <row r="17" spans="1:6" ht="15" customHeight="1" x14ac:dyDescent="0.2">
      <c r="A17" s="147">
        <v>3</v>
      </c>
      <c r="B17" s="160" t="s">
        <v>158</v>
      </c>
      <c r="C17" s="157">
        <v>58034107</v>
      </c>
      <c r="D17" s="157">
        <v>57216894</v>
      </c>
      <c r="E17" s="157">
        <f>+D17-C17</f>
        <v>-817213</v>
      </c>
      <c r="F17" s="161">
        <f>IF(C17=0,0,E17/C17)</f>
        <v>-1.4081598602008298E-2</v>
      </c>
    </row>
    <row r="18" spans="1:6" ht="15.75" customHeight="1" x14ac:dyDescent="0.25">
      <c r="A18" s="147"/>
      <c r="B18" s="162" t="s">
        <v>159</v>
      </c>
      <c r="C18" s="158">
        <f>SUM(C15:C17)</f>
        <v>108506446</v>
      </c>
      <c r="D18" s="158">
        <f>SUM(D15:D17)</f>
        <v>107459658</v>
      </c>
      <c r="E18" s="158">
        <f>+D18-C18</f>
        <v>-1046788</v>
      </c>
      <c r="F18" s="159">
        <f>IF(C18=0,0,E18/C18)</f>
        <v>-9.6472425241906825E-3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6103468</v>
      </c>
      <c r="D21" s="157">
        <v>7858189</v>
      </c>
      <c r="E21" s="157">
        <f>+D21-C21</f>
        <v>1754721</v>
      </c>
      <c r="F21" s="161">
        <f>IF(C21=0,0,E21/C21)</f>
        <v>0.2874957319346968</v>
      </c>
    </row>
    <row r="22" spans="1:6" ht="15" customHeight="1" x14ac:dyDescent="0.2">
      <c r="A22" s="147">
        <v>2</v>
      </c>
      <c r="B22" s="160" t="s">
        <v>162</v>
      </c>
      <c r="C22" s="157">
        <v>2650717</v>
      </c>
      <c r="D22" s="157">
        <v>2871244</v>
      </c>
      <c r="E22" s="157">
        <f>+D22-C22</f>
        <v>220527</v>
      </c>
      <c r="F22" s="161">
        <f>IF(C22=0,0,E22/C22)</f>
        <v>8.3195226046386697E-2</v>
      </c>
    </row>
    <row r="23" spans="1:6" ht="15" customHeight="1" x14ac:dyDescent="0.2">
      <c r="A23" s="147">
        <v>3</v>
      </c>
      <c r="B23" s="160" t="s">
        <v>163</v>
      </c>
      <c r="C23" s="157">
        <v>15015799</v>
      </c>
      <c r="D23" s="157">
        <v>19582698</v>
      </c>
      <c r="E23" s="157">
        <f>+D23-C23</f>
        <v>4566899</v>
      </c>
      <c r="F23" s="161">
        <f>IF(C23=0,0,E23/C23)</f>
        <v>0.30413959323776246</v>
      </c>
    </row>
    <row r="24" spans="1:6" ht="15.75" customHeight="1" x14ac:dyDescent="0.25">
      <c r="A24" s="147"/>
      <c r="B24" s="162" t="s">
        <v>164</v>
      </c>
      <c r="C24" s="158">
        <f>SUM(C21:C23)</f>
        <v>23769984</v>
      </c>
      <c r="D24" s="158">
        <f>SUM(D21:D23)</f>
        <v>30312131</v>
      </c>
      <c r="E24" s="158">
        <f>+D24-C24</f>
        <v>6542147</v>
      </c>
      <c r="F24" s="159">
        <f>IF(C24=0,0,E24/C24)</f>
        <v>0.27522723616473616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842904</v>
      </c>
      <c r="D27" s="157">
        <v>947212</v>
      </c>
      <c r="E27" s="157">
        <f>+D27-C27</f>
        <v>104308</v>
      </c>
      <c r="F27" s="161">
        <f>IF(C27=0,0,E27/C27)</f>
        <v>0.1237483746666287</v>
      </c>
    </row>
    <row r="28" spans="1:6" ht="15" customHeight="1" x14ac:dyDescent="0.2">
      <c r="A28" s="147">
        <v>2</v>
      </c>
      <c r="B28" s="160" t="s">
        <v>167</v>
      </c>
      <c r="C28" s="157">
        <v>3109419</v>
      </c>
      <c r="D28" s="157">
        <v>3220279</v>
      </c>
      <c r="E28" s="157">
        <f>+D28-C28</f>
        <v>110860</v>
      </c>
      <c r="F28" s="161">
        <f>IF(C28=0,0,E28/C28)</f>
        <v>3.5652962820385416E-2</v>
      </c>
    </row>
    <row r="29" spans="1:6" ht="15" customHeight="1" x14ac:dyDescent="0.2">
      <c r="A29" s="147">
        <v>3</v>
      </c>
      <c r="B29" s="160" t="s">
        <v>168</v>
      </c>
      <c r="C29" s="157">
        <v>4555789</v>
      </c>
      <c r="D29" s="157">
        <v>6459325</v>
      </c>
      <c r="E29" s="157">
        <f>+D29-C29</f>
        <v>1903536</v>
      </c>
      <c r="F29" s="161">
        <f>IF(C29=0,0,E29/C29)</f>
        <v>0.41782795471871065</v>
      </c>
    </row>
    <row r="30" spans="1:6" ht="15.75" customHeight="1" x14ac:dyDescent="0.25">
      <c r="A30" s="147"/>
      <c r="B30" s="162" t="s">
        <v>169</v>
      </c>
      <c r="C30" s="158">
        <f>SUM(C27:C29)</f>
        <v>8508112</v>
      </c>
      <c r="D30" s="158">
        <f>SUM(D27:D29)</f>
        <v>10626816</v>
      </c>
      <c r="E30" s="158">
        <f>+D30-C30</f>
        <v>2118704</v>
      </c>
      <c r="F30" s="159">
        <f>IF(C30=0,0,E30/C30)</f>
        <v>0.24902163958349396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25236043</v>
      </c>
      <c r="D33" s="157">
        <v>27029720</v>
      </c>
      <c r="E33" s="157">
        <f>+D33-C33</f>
        <v>1793677</v>
      </c>
      <c r="F33" s="161">
        <f>IF(C33=0,0,E33/C33)</f>
        <v>7.107600030638718E-2</v>
      </c>
    </row>
    <row r="34" spans="1:6" ht="15" customHeight="1" x14ac:dyDescent="0.2">
      <c r="A34" s="147">
        <v>2</v>
      </c>
      <c r="B34" s="160" t="s">
        <v>173</v>
      </c>
      <c r="C34" s="157">
        <v>14708987</v>
      </c>
      <c r="D34" s="157">
        <v>15818042</v>
      </c>
      <c r="E34" s="157">
        <f>+D34-C34</f>
        <v>1109055</v>
      </c>
      <c r="F34" s="161">
        <f>IF(C34=0,0,E34/C34)</f>
        <v>7.5399821891201618E-2</v>
      </c>
    </row>
    <row r="35" spans="1:6" ht="15.75" customHeight="1" x14ac:dyDescent="0.25">
      <c r="A35" s="147"/>
      <c r="B35" s="162" t="s">
        <v>174</v>
      </c>
      <c r="C35" s="158">
        <f>SUM(C33:C34)</f>
        <v>39945030</v>
      </c>
      <c r="D35" s="158">
        <f>SUM(D33:D34)</f>
        <v>42847762</v>
      </c>
      <c r="E35" s="158">
        <f>+D35-C35</f>
        <v>2902732</v>
      </c>
      <c r="F35" s="159">
        <f>IF(C35=0,0,E35/C35)</f>
        <v>7.2668164224685777E-2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8802588</v>
      </c>
      <c r="D38" s="157">
        <v>8218671</v>
      </c>
      <c r="E38" s="157">
        <f>+D38-C38</f>
        <v>-583917</v>
      </c>
      <c r="F38" s="161">
        <f>IF(C38=0,0,E38/C38)</f>
        <v>-6.6334696114369998E-2</v>
      </c>
    </row>
    <row r="39" spans="1:6" ht="15" customHeight="1" x14ac:dyDescent="0.2">
      <c r="A39" s="147">
        <v>2</v>
      </c>
      <c r="B39" s="160" t="s">
        <v>178</v>
      </c>
      <c r="C39" s="157">
        <v>6187096</v>
      </c>
      <c r="D39" s="157">
        <v>5617297</v>
      </c>
      <c r="E39" s="157">
        <f>+D39-C39</f>
        <v>-569799</v>
      </c>
      <c r="F39" s="161">
        <f>IF(C39=0,0,E39/C39)</f>
        <v>-9.2094740408100992E-2</v>
      </c>
    </row>
    <row r="40" spans="1:6" ht="15" customHeight="1" x14ac:dyDescent="0.2">
      <c r="A40" s="147">
        <v>3</v>
      </c>
      <c r="B40" s="160" t="s">
        <v>179</v>
      </c>
      <c r="C40" s="157">
        <v>51618</v>
      </c>
      <c r="D40" s="157">
        <v>42154</v>
      </c>
      <c r="E40" s="157">
        <f>+D40-C40</f>
        <v>-9464</v>
      </c>
      <c r="F40" s="161">
        <f>IF(C40=0,0,E40/C40)</f>
        <v>-0.18334689449416869</v>
      </c>
    </row>
    <row r="41" spans="1:6" ht="15.75" customHeight="1" x14ac:dyDescent="0.25">
      <c r="A41" s="147"/>
      <c r="B41" s="162" t="s">
        <v>180</v>
      </c>
      <c r="C41" s="158">
        <f>SUM(C38:C40)</f>
        <v>15041302</v>
      </c>
      <c r="D41" s="158">
        <f>SUM(D38:D40)</f>
        <v>13878122</v>
      </c>
      <c r="E41" s="158">
        <f>+D41-C41</f>
        <v>-1163180</v>
      </c>
      <c r="F41" s="159">
        <f>IF(C41=0,0,E41/C41)</f>
        <v>-7.7332401144528579E-2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3380083</v>
      </c>
      <c r="D47" s="157">
        <v>3369912</v>
      </c>
      <c r="E47" s="157">
        <f>+D47-C47</f>
        <v>-10171</v>
      </c>
      <c r="F47" s="161">
        <f>IF(C47=0,0,E47/C47)</f>
        <v>-3.0090977055888864E-3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3154911</v>
      </c>
      <c r="D50" s="157">
        <v>2185052</v>
      </c>
      <c r="E50" s="157">
        <f>+D50-C50</f>
        <v>-969859</v>
      </c>
      <c r="F50" s="161">
        <f>IF(C50=0,0,E50/C50)</f>
        <v>-0.30741247534399546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317756</v>
      </c>
      <c r="D53" s="157">
        <v>409862</v>
      </c>
      <c r="E53" s="157">
        <f t="shared" ref="E53:E59" si="0">+D53-C53</f>
        <v>92106</v>
      </c>
      <c r="F53" s="161">
        <f t="shared" ref="F53:F59" si="1">IF(C53=0,0,E53/C53)</f>
        <v>0.28986392074421885</v>
      </c>
    </row>
    <row r="54" spans="1:6" ht="15" customHeight="1" x14ac:dyDescent="0.2">
      <c r="A54" s="147">
        <v>2</v>
      </c>
      <c r="B54" s="160" t="s">
        <v>189</v>
      </c>
      <c r="C54" s="157">
        <v>1266105</v>
      </c>
      <c r="D54" s="157">
        <v>1176748</v>
      </c>
      <c r="E54" s="157">
        <f t="shared" si="0"/>
        <v>-89357</v>
      </c>
      <c r="F54" s="161">
        <f t="shared" si="1"/>
        <v>-7.0576295015026394E-2</v>
      </c>
    </row>
    <row r="55" spans="1:6" ht="15" customHeight="1" x14ac:dyDescent="0.2">
      <c r="A55" s="147">
        <v>3</v>
      </c>
      <c r="B55" s="160" t="s">
        <v>190</v>
      </c>
      <c r="C55" s="157">
        <v>12664</v>
      </c>
      <c r="D55" s="157">
        <v>9776</v>
      </c>
      <c r="E55" s="157">
        <f t="shared" si="0"/>
        <v>-2888</v>
      </c>
      <c r="F55" s="161">
        <f t="shared" si="1"/>
        <v>-0.22804801010739104</v>
      </c>
    </row>
    <row r="56" spans="1:6" ht="15" customHeight="1" x14ac:dyDescent="0.2">
      <c r="A56" s="147">
        <v>4</v>
      </c>
      <c r="B56" s="160" t="s">
        <v>191</v>
      </c>
      <c r="C56" s="157">
        <v>3024095</v>
      </c>
      <c r="D56" s="157">
        <v>3025026</v>
      </c>
      <c r="E56" s="157">
        <f t="shared" si="0"/>
        <v>931</v>
      </c>
      <c r="F56" s="161">
        <f t="shared" si="1"/>
        <v>3.0786069882063891E-4</v>
      </c>
    </row>
    <row r="57" spans="1:6" ht="15" customHeight="1" x14ac:dyDescent="0.2">
      <c r="A57" s="147">
        <v>5</v>
      </c>
      <c r="B57" s="160" t="s">
        <v>192</v>
      </c>
      <c r="C57" s="157">
        <v>594297</v>
      </c>
      <c r="D57" s="157">
        <v>467587</v>
      </c>
      <c r="E57" s="157">
        <f t="shared" si="0"/>
        <v>-126710</v>
      </c>
      <c r="F57" s="161">
        <f t="shared" si="1"/>
        <v>-0.21320989336981341</v>
      </c>
    </row>
    <row r="58" spans="1:6" ht="15" customHeight="1" x14ac:dyDescent="0.2">
      <c r="A58" s="147">
        <v>6</v>
      </c>
      <c r="B58" s="160" t="s">
        <v>193</v>
      </c>
      <c r="C58" s="157">
        <v>81354</v>
      </c>
      <c r="D58" s="157">
        <v>83331</v>
      </c>
      <c r="E58" s="157">
        <f t="shared" si="0"/>
        <v>1977</v>
      </c>
      <c r="F58" s="161">
        <f t="shared" si="1"/>
        <v>2.4301202153551148E-2</v>
      </c>
    </row>
    <row r="59" spans="1:6" ht="15.75" customHeight="1" x14ac:dyDescent="0.25">
      <c r="A59" s="147"/>
      <c r="B59" s="162" t="s">
        <v>194</v>
      </c>
      <c r="C59" s="158">
        <f>SUM(C53:C58)</f>
        <v>5296271</v>
      </c>
      <c r="D59" s="158">
        <f>SUM(D53:D58)</f>
        <v>5172330</v>
      </c>
      <c r="E59" s="158">
        <f t="shared" si="0"/>
        <v>-123941</v>
      </c>
      <c r="F59" s="159">
        <f t="shared" si="1"/>
        <v>-2.3401559323531593E-2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342992</v>
      </c>
      <c r="D62" s="157">
        <v>-190761</v>
      </c>
      <c r="E62" s="157">
        <f t="shared" ref="E62:E90" si="2">+D62-C62</f>
        <v>-533753</v>
      </c>
      <c r="F62" s="161">
        <f t="shared" ref="F62:F90" si="3">IF(C62=0,0,E62/C62)</f>
        <v>-1.5561674907869572</v>
      </c>
    </row>
    <row r="63" spans="1:6" ht="15" customHeight="1" x14ac:dyDescent="0.2">
      <c r="A63" s="147">
        <v>2</v>
      </c>
      <c r="B63" s="160" t="s">
        <v>198</v>
      </c>
      <c r="C63" s="157">
        <v>763020</v>
      </c>
      <c r="D63" s="157">
        <v>-19783</v>
      </c>
      <c r="E63" s="157">
        <f t="shared" si="2"/>
        <v>-782803</v>
      </c>
      <c r="F63" s="161">
        <f t="shared" si="3"/>
        <v>-1.025927236507562</v>
      </c>
    </row>
    <row r="64" spans="1:6" ht="15" customHeight="1" x14ac:dyDescent="0.2">
      <c r="A64" s="147">
        <v>3</v>
      </c>
      <c r="B64" s="160" t="s">
        <v>199</v>
      </c>
      <c r="C64" s="157">
        <v>854820</v>
      </c>
      <c r="D64" s="157">
        <v>1091196</v>
      </c>
      <c r="E64" s="157">
        <f t="shared" si="2"/>
        <v>236376</v>
      </c>
      <c r="F64" s="161">
        <f t="shared" si="3"/>
        <v>0.27652137292061485</v>
      </c>
    </row>
    <row r="65" spans="1:6" ht="15" customHeight="1" x14ac:dyDescent="0.2">
      <c r="A65" s="147">
        <v>4</v>
      </c>
      <c r="B65" s="160" t="s">
        <v>200</v>
      </c>
      <c r="C65" s="157">
        <v>634103</v>
      </c>
      <c r="D65" s="157">
        <v>520548</v>
      </c>
      <c r="E65" s="157">
        <f t="shared" si="2"/>
        <v>-113555</v>
      </c>
      <c r="F65" s="161">
        <f t="shared" si="3"/>
        <v>-0.17907973941142055</v>
      </c>
    </row>
    <row r="66" spans="1:6" ht="15" customHeight="1" x14ac:dyDescent="0.2">
      <c r="A66" s="147">
        <v>5</v>
      </c>
      <c r="B66" s="160" t="s">
        <v>201</v>
      </c>
      <c r="C66" s="157">
        <v>265515</v>
      </c>
      <c r="D66" s="157">
        <v>174702</v>
      </c>
      <c r="E66" s="157">
        <f t="shared" si="2"/>
        <v>-90813</v>
      </c>
      <c r="F66" s="161">
        <f t="shared" si="3"/>
        <v>-0.34202587424439296</v>
      </c>
    </row>
    <row r="67" spans="1:6" ht="15" customHeight="1" x14ac:dyDescent="0.2">
      <c r="A67" s="147">
        <v>6</v>
      </c>
      <c r="B67" s="160" t="s">
        <v>202</v>
      </c>
      <c r="C67" s="157">
        <v>2001144</v>
      </c>
      <c r="D67" s="157">
        <v>2093660</v>
      </c>
      <c r="E67" s="157">
        <f t="shared" si="2"/>
        <v>92516</v>
      </c>
      <c r="F67" s="161">
        <f t="shared" si="3"/>
        <v>4.6231555550225269E-2</v>
      </c>
    </row>
    <row r="68" spans="1:6" ht="15" customHeight="1" x14ac:dyDescent="0.2">
      <c r="A68" s="147">
        <v>7</v>
      </c>
      <c r="B68" s="160" t="s">
        <v>203</v>
      </c>
      <c r="C68" s="157">
        <v>1184327</v>
      </c>
      <c r="D68" s="157">
        <v>1514649</v>
      </c>
      <c r="E68" s="157">
        <f t="shared" si="2"/>
        <v>330322</v>
      </c>
      <c r="F68" s="161">
        <f t="shared" si="3"/>
        <v>0.27891114531712946</v>
      </c>
    </row>
    <row r="69" spans="1:6" ht="15" customHeight="1" x14ac:dyDescent="0.2">
      <c r="A69" s="147">
        <v>8</v>
      </c>
      <c r="B69" s="160" t="s">
        <v>204</v>
      </c>
      <c r="C69" s="157">
        <v>547039</v>
      </c>
      <c r="D69" s="157">
        <v>745505</v>
      </c>
      <c r="E69" s="157">
        <f t="shared" si="2"/>
        <v>198466</v>
      </c>
      <c r="F69" s="161">
        <f t="shared" si="3"/>
        <v>0.36280045846822623</v>
      </c>
    </row>
    <row r="70" spans="1:6" ht="15" customHeight="1" x14ac:dyDescent="0.2">
      <c r="A70" s="147">
        <v>9</v>
      </c>
      <c r="B70" s="160" t="s">
        <v>205</v>
      </c>
      <c r="C70" s="157">
        <v>8846</v>
      </c>
      <c r="D70" s="157">
        <v>3584</v>
      </c>
      <c r="E70" s="157">
        <f t="shared" si="2"/>
        <v>-5262</v>
      </c>
      <c r="F70" s="161">
        <f t="shared" si="3"/>
        <v>-0.59484512774135201</v>
      </c>
    </row>
    <row r="71" spans="1:6" ht="15" customHeight="1" x14ac:dyDescent="0.2">
      <c r="A71" s="147">
        <v>10</v>
      </c>
      <c r="B71" s="160" t="s">
        <v>206</v>
      </c>
      <c r="C71" s="157">
        <v>325688</v>
      </c>
      <c r="D71" s="157">
        <v>247038</v>
      </c>
      <c r="E71" s="157">
        <f t="shared" si="2"/>
        <v>-78650</v>
      </c>
      <c r="F71" s="161">
        <f t="shared" si="3"/>
        <v>-0.2414887868143745</v>
      </c>
    </row>
    <row r="72" spans="1:6" ht="15" customHeight="1" x14ac:dyDescent="0.2">
      <c r="A72" s="147">
        <v>11</v>
      </c>
      <c r="B72" s="160" t="s">
        <v>207</v>
      </c>
      <c r="C72" s="157">
        <v>208210</v>
      </c>
      <c r="D72" s="157">
        <v>222153</v>
      </c>
      <c r="E72" s="157">
        <f t="shared" si="2"/>
        <v>13943</v>
      </c>
      <c r="F72" s="161">
        <f t="shared" si="3"/>
        <v>6.6966043897987604E-2</v>
      </c>
    </row>
    <row r="73" spans="1:6" ht="15" customHeight="1" x14ac:dyDescent="0.2">
      <c r="A73" s="147">
        <v>12</v>
      </c>
      <c r="B73" s="160" t="s">
        <v>208</v>
      </c>
      <c r="C73" s="157">
        <v>1118267</v>
      </c>
      <c r="D73" s="157">
        <v>1075352</v>
      </c>
      <c r="E73" s="157">
        <f t="shared" si="2"/>
        <v>-42915</v>
      </c>
      <c r="F73" s="161">
        <f t="shared" si="3"/>
        <v>-3.8376344826414444E-2</v>
      </c>
    </row>
    <row r="74" spans="1:6" ht="15" customHeight="1" x14ac:dyDescent="0.2">
      <c r="A74" s="147">
        <v>13</v>
      </c>
      <c r="B74" s="160" t="s">
        <v>209</v>
      </c>
      <c r="C74" s="157">
        <v>116733</v>
      </c>
      <c r="D74" s="157">
        <v>129636</v>
      </c>
      <c r="E74" s="157">
        <f t="shared" si="2"/>
        <v>12903</v>
      </c>
      <c r="F74" s="161">
        <f t="shared" si="3"/>
        <v>0.11053429621443808</v>
      </c>
    </row>
    <row r="75" spans="1:6" ht="15" customHeight="1" x14ac:dyDescent="0.2">
      <c r="A75" s="147">
        <v>14</v>
      </c>
      <c r="B75" s="160" t="s">
        <v>210</v>
      </c>
      <c r="C75" s="157">
        <v>173071</v>
      </c>
      <c r="D75" s="157">
        <v>177665</v>
      </c>
      <c r="E75" s="157">
        <f t="shared" si="2"/>
        <v>4594</v>
      </c>
      <c r="F75" s="161">
        <f t="shared" si="3"/>
        <v>2.6544019506445332E-2</v>
      </c>
    </row>
    <row r="76" spans="1:6" ht="15" customHeight="1" x14ac:dyDescent="0.2">
      <c r="A76" s="147">
        <v>15</v>
      </c>
      <c r="B76" s="160" t="s">
        <v>211</v>
      </c>
      <c r="C76" s="157">
        <v>32857</v>
      </c>
      <c r="D76" s="157">
        <v>22105</v>
      </c>
      <c r="E76" s="157">
        <f t="shared" si="2"/>
        <v>-10752</v>
      </c>
      <c r="F76" s="161">
        <f t="shared" si="3"/>
        <v>-0.32723620537480597</v>
      </c>
    </row>
    <row r="77" spans="1:6" ht="15" customHeight="1" x14ac:dyDescent="0.2">
      <c r="A77" s="147">
        <v>16</v>
      </c>
      <c r="B77" s="160" t="s">
        <v>212</v>
      </c>
      <c r="C77" s="157">
        <v>12723813</v>
      </c>
      <c r="D77" s="157">
        <v>21663119</v>
      </c>
      <c r="E77" s="157">
        <f t="shared" si="2"/>
        <v>8939306</v>
      </c>
      <c r="F77" s="161">
        <f t="shared" si="3"/>
        <v>0.70256502512257923</v>
      </c>
    </row>
    <row r="78" spans="1:6" ht="15" customHeight="1" x14ac:dyDescent="0.2">
      <c r="A78" s="147">
        <v>17</v>
      </c>
      <c r="B78" s="160" t="s">
        <v>213</v>
      </c>
      <c r="C78" s="157">
        <v>3394278</v>
      </c>
      <c r="D78" s="157">
        <v>2272738</v>
      </c>
      <c r="E78" s="157">
        <f t="shared" si="2"/>
        <v>-1121540</v>
      </c>
      <c r="F78" s="161">
        <f t="shared" si="3"/>
        <v>-0.33042078462636237</v>
      </c>
    </row>
    <row r="79" spans="1:6" ht="15" customHeight="1" x14ac:dyDescent="0.2">
      <c r="A79" s="147">
        <v>18</v>
      </c>
      <c r="B79" s="160" t="s">
        <v>214</v>
      </c>
      <c r="C79" s="157">
        <v>136269</v>
      </c>
      <c r="D79" s="157">
        <v>213602</v>
      </c>
      <c r="E79" s="157">
        <f t="shared" si="2"/>
        <v>77333</v>
      </c>
      <c r="F79" s="161">
        <f t="shared" si="3"/>
        <v>0.56750251341097391</v>
      </c>
    </row>
    <row r="80" spans="1:6" ht="15" customHeight="1" x14ac:dyDescent="0.2">
      <c r="A80" s="147">
        <v>19</v>
      </c>
      <c r="B80" s="160" t="s">
        <v>215</v>
      </c>
      <c r="C80" s="157">
        <v>1404597</v>
      </c>
      <c r="D80" s="157">
        <v>1735580</v>
      </c>
      <c r="E80" s="157">
        <f t="shared" si="2"/>
        <v>330983</v>
      </c>
      <c r="F80" s="161">
        <f t="shared" si="3"/>
        <v>0.2356426790033013</v>
      </c>
    </row>
    <row r="81" spans="1:6" ht="15" customHeight="1" x14ac:dyDescent="0.2">
      <c r="A81" s="147">
        <v>20</v>
      </c>
      <c r="B81" s="160" t="s">
        <v>216</v>
      </c>
      <c r="C81" s="157">
        <v>3841474</v>
      </c>
      <c r="D81" s="157">
        <v>4569380</v>
      </c>
      <c r="E81" s="157">
        <f t="shared" si="2"/>
        <v>727906</v>
      </c>
      <c r="F81" s="161">
        <f t="shared" si="3"/>
        <v>0.18948611913031299</v>
      </c>
    </row>
    <row r="82" spans="1:6" ht="15" customHeight="1" x14ac:dyDescent="0.2">
      <c r="A82" s="147">
        <v>21</v>
      </c>
      <c r="B82" s="160" t="s">
        <v>217</v>
      </c>
      <c r="C82" s="157">
        <v>800737</v>
      </c>
      <c r="D82" s="157">
        <v>817169</v>
      </c>
      <c r="E82" s="157">
        <f t="shared" si="2"/>
        <v>16432</v>
      </c>
      <c r="F82" s="161">
        <f t="shared" si="3"/>
        <v>2.0521094941285341E-2</v>
      </c>
    </row>
    <row r="83" spans="1:6" ht="15" customHeight="1" x14ac:dyDescent="0.2">
      <c r="A83" s="147">
        <v>22</v>
      </c>
      <c r="B83" s="160" t="s">
        <v>218</v>
      </c>
      <c r="C83" s="157">
        <v>205978</v>
      </c>
      <c r="D83" s="157">
        <v>203784</v>
      </c>
      <c r="E83" s="157">
        <f t="shared" si="2"/>
        <v>-2194</v>
      </c>
      <c r="F83" s="161">
        <f t="shared" si="3"/>
        <v>-1.0651622988862889E-2</v>
      </c>
    </row>
    <row r="84" spans="1:6" ht="15" customHeight="1" x14ac:dyDescent="0.2">
      <c r="A84" s="147">
        <v>23</v>
      </c>
      <c r="B84" s="160" t="s">
        <v>219</v>
      </c>
      <c r="C84" s="157">
        <v>835345</v>
      </c>
      <c r="D84" s="157">
        <v>808996</v>
      </c>
      <c r="E84" s="157">
        <f t="shared" si="2"/>
        <v>-26349</v>
      </c>
      <c r="F84" s="161">
        <f t="shared" si="3"/>
        <v>-3.154265602834757E-2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212994</v>
      </c>
      <c r="D86" s="157">
        <v>240984</v>
      </c>
      <c r="E86" s="157">
        <f t="shared" si="2"/>
        <v>27990</v>
      </c>
      <c r="F86" s="161">
        <f t="shared" si="3"/>
        <v>0.13141215245499874</v>
      </c>
    </row>
    <row r="87" spans="1:6" ht="15" customHeight="1" x14ac:dyDescent="0.2">
      <c r="A87" s="147">
        <v>26</v>
      </c>
      <c r="B87" s="160" t="s">
        <v>222</v>
      </c>
      <c r="C87" s="157">
        <v>3814804</v>
      </c>
      <c r="D87" s="157">
        <v>3728646</v>
      </c>
      <c r="E87" s="157">
        <f t="shared" si="2"/>
        <v>-86158</v>
      </c>
      <c r="F87" s="161">
        <f t="shared" si="3"/>
        <v>-2.2585170823979425E-2</v>
      </c>
    </row>
    <row r="88" spans="1:6" ht="15" customHeight="1" x14ac:dyDescent="0.2">
      <c r="A88" s="147">
        <v>27</v>
      </c>
      <c r="B88" s="160" t="s">
        <v>223</v>
      </c>
      <c r="C88" s="157">
        <v>2208734</v>
      </c>
      <c r="D88" s="157">
        <v>3263450</v>
      </c>
      <c r="E88" s="157">
        <f t="shared" si="2"/>
        <v>1054716</v>
      </c>
      <c r="F88" s="161">
        <f t="shared" si="3"/>
        <v>0.47752060682725944</v>
      </c>
    </row>
    <row r="89" spans="1:6" ht="15" customHeight="1" x14ac:dyDescent="0.2">
      <c r="A89" s="147">
        <v>28</v>
      </c>
      <c r="B89" s="160" t="s">
        <v>224</v>
      </c>
      <c r="C89" s="157">
        <v>5396599</v>
      </c>
      <c r="D89" s="157">
        <v>5680915</v>
      </c>
      <c r="E89" s="157">
        <f t="shared" si="2"/>
        <v>284316</v>
      </c>
      <c r="F89" s="161">
        <f t="shared" si="3"/>
        <v>5.2684292459009831E-2</v>
      </c>
    </row>
    <row r="90" spans="1:6" ht="15.75" customHeight="1" x14ac:dyDescent="0.25">
      <c r="A90" s="147"/>
      <c r="B90" s="162" t="s">
        <v>225</v>
      </c>
      <c r="C90" s="158">
        <f>SUM(C62:C89)</f>
        <v>43552254</v>
      </c>
      <c r="D90" s="158">
        <f>SUM(D62:D89)</f>
        <v>53005612</v>
      </c>
      <c r="E90" s="158">
        <f t="shared" si="2"/>
        <v>9453358</v>
      </c>
      <c r="F90" s="159">
        <f t="shared" si="3"/>
        <v>0.21705783585850688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251154393</v>
      </c>
      <c r="D95" s="158">
        <f>+D93+D90+D59+D50+D47+D44+D41+D35+D30+D24+D18</f>
        <v>268857395</v>
      </c>
      <c r="E95" s="158">
        <f>+D95-C95</f>
        <v>17703002</v>
      </c>
      <c r="F95" s="159">
        <f>IF(C95=0,0,E95/C95)</f>
        <v>7.0486531366385455E-2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37434164</v>
      </c>
      <c r="D103" s="157">
        <v>38979661</v>
      </c>
      <c r="E103" s="157">
        <f t="shared" ref="E103:E121" si="4">D103-C103</f>
        <v>1545497</v>
      </c>
      <c r="F103" s="161">
        <f t="shared" ref="F103:F121" si="5">IF(C103=0,0,E103/C103)</f>
        <v>4.1285735671831754E-2</v>
      </c>
    </row>
    <row r="104" spans="1:6" ht="15" customHeight="1" x14ac:dyDescent="0.2">
      <c r="A104" s="147">
        <v>2</v>
      </c>
      <c r="B104" s="169" t="s">
        <v>234</v>
      </c>
      <c r="C104" s="157">
        <v>1524642</v>
      </c>
      <c r="D104" s="157">
        <v>1184729</v>
      </c>
      <c r="E104" s="157">
        <f t="shared" si="4"/>
        <v>-339913</v>
      </c>
      <c r="F104" s="161">
        <f t="shared" si="5"/>
        <v>-0.22294610800437087</v>
      </c>
    </row>
    <row r="105" spans="1:6" ht="15" customHeight="1" x14ac:dyDescent="0.2">
      <c r="A105" s="147">
        <v>3</v>
      </c>
      <c r="B105" s="169" t="s">
        <v>235</v>
      </c>
      <c r="C105" s="157">
        <v>3085123</v>
      </c>
      <c r="D105" s="157">
        <v>3378899</v>
      </c>
      <c r="E105" s="157">
        <f t="shared" si="4"/>
        <v>293776</v>
      </c>
      <c r="F105" s="161">
        <f t="shared" si="5"/>
        <v>9.5223431934480407E-2</v>
      </c>
    </row>
    <row r="106" spans="1:6" ht="15" customHeight="1" x14ac:dyDescent="0.2">
      <c r="A106" s="147">
        <v>4</v>
      </c>
      <c r="B106" s="169" t="s">
        <v>236</v>
      </c>
      <c r="C106" s="157">
        <v>2935593</v>
      </c>
      <c r="D106" s="157">
        <v>3000772</v>
      </c>
      <c r="E106" s="157">
        <f t="shared" si="4"/>
        <v>65179</v>
      </c>
      <c r="F106" s="161">
        <f t="shared" si="5"/>
        <v>2.2203009749648537E-2</v>
      </c>
    </row>
    <row r="107" spans="1:6" ht="15" customHeight="1" x14ac:dyDescent="0.2">
      <c r="A107" s="147">
        <v>5</v>
      </c>
      <c r="B107" s="169" t="s">
        <v>237</v>
      </c>
      <c r="C107" s="157">
        <v>10412014</v>
      </c>
      <c r="D107" s="157">
        <v>14384701</v>
      </c>
      <c r="E107" s="157">
        <f t="shared" si="4"/>
        <v>3972687</v>
      </c>
      <c r="F107" s="161">
        <f t="shared" si="5"/>
        <v>0.38154837287003263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26779435</v>
      </c>
      <c r="D109" s="157">
        <v>31954032</v>
      </c>
      <c r="E109" s="157">
        <f t="shared" si="4"/>
        <v>5174597</v>
      </c>
      <c r="F109" s="161">
        <f t="shared" si="5"/>
        <v>0.19323025299077445</v>
      </c>
    </row>
    <row r="110" spans="1:6" ht="15" customHeight="1" x14ac:dyDescent="0.2">
      <c r="A110" s="147">
        <v>8</v>
      </c>
      <c r="B110" s="169" t="s">
        <v>240</v>
      </c>
      <c r="C110" s="157">
        <v>113195</v>
      </c>
      <c r="D110" s="157">
        <v>103329</v>
      </c>
      <c r="E110" s="157">
        <f t="shared" si="4"/>
        <v>-9866</v>
      </c>
      <c r="F110" s="161">
        <f t="shared" si="5"/>
        <v>-8.7159326825389807E-2</v>
      </c>
    </row>
    <row r="111" spans="1:6" ht="15" customHeight="1" x14ac:dyDescent="0.2">
      <c r="A111" s="147">
        <v>9</v>
      </c>
      <c r="B111" s="169" t="s">
        <v>241</v>
      </c>
      <c r="C111" s="157">
        <v>1011865</v>
      </c>
      <c r="D111" s="157">
        <v>998175</v>
      </c>
      <c r="E111" s="157">
        <f t="shared" si="4"/>
        <v>-13690</v>
      </c>
      <c r="F111" s="161">
        <f t="shared" si="5"/>
        <v>-1.3529472805166698E-2</v>
      </c>
    </row>
    <row r="112" spans="1:6" ht="15" customHeight="1" x14ac:dyDescent="0.2">
      <c r="A112" s="147">
        <v>10</v>
      </c>
      <c r="B112" s="169" t="s">
        <v>242</v>
      </c>
      <c r="C112" s="157">
        <v>3409832</v>
      </c>
      <c r="D112" s="157">
        <v>3373079</v>
      </c>
      <c r="E112" s="157">
        <f t="shared" si="4"/>
        <v>-36753</v>
      </c>
      <c r="F112" s="161">
        <f t="shared" si="5"/>
        <v>-1.0778536889793983E-2</v>
      </c>
    </row>
    <row r="113" spans="1:6" ht="15" customHeight="1" x14ac:dyDescent="0.2">
      <c r="A113" s="147">
        <v>11</v>
      </c>
      <c r="B113" s="169" t="s">
        <v>243</v>
      </c>
      <c r="C113" s="157">
        <v>2825681</v>
      </c>
      <c r="D113" s="157">
        <v>3057756</v>
      </c>
      <c r="E113" s="157">
        <f t="shared" si="4"/>
        <v>232075</v>
      </c>
      <c r="F113" s="161">
        <f t="shared" si="5"/>
        <v>8.2130643904956002E-2</v>
      </c>
    </row>
    <row r="114" spans="1:6" ht="15" customHeight="1" x14ac:dyDescent="0.2">
      <c r="A114" s="147">
        <v>12</v>
      </c>
      <c r="B114" s="169" t="s">
        <v>244</v>
      </c>
      <c r="C114" s="157">
        <v>302360</v>
      </c>
      <c r="D114" s="157">
        <v>293403</v>
      </c>
      <c r="E114" s="157">
        <f t="shared" si="4"/>
        <v>-8957</v>
      </c>
      <c r="F114" s="161">
        <f t="shared" si="5"/>
        <v>-2.9623627463950256E-2</v>
      </c>
    </row>
    <row r="115" spans="1:6" ht="15" customHeight="1" x14ac:dyDescent="0.2">
      <c r="A115" s="147">
        <v>13</v>
      </c>
      <c r="B115" s="169" t="s">
        <v>245</v>
      </c>
      <c r="C115" s="157">
        <v>4518351</v>
      </c>
      <c r="D115" s="157">
        <v>4581456</v>
      </c>
      <c r="E115" s="157">
        <f t="shared" si="4"/>
        <v>63105</v>
      </c>
      <c r="F115" s="161">
        <f t="shared" si="5"/>
        <v>1.3966378442046666E-2</v>
      </c>
    </row>
    <row r="116" spans="1:6" ht="15" customHeight="1" x14ac:dyDescent="0.2">
      <c r="A116" s="147">
        <v>14</v>
      </c>
      <c r="B116" s="169" t="s">
        <v>246</v>
      </c>
      <c r="C116" s="157">
        <v>1779812</v>
      </c>
      <c r="D116" s="157">
        <v>1985057</v>
      </c>
      <c r="E116" s="157">
        <f t="shared" si="4"/>
        <v>205245</v>
      </c>
      <c r="F116" s="161">
        <f t="shared" si="5"/>
        <v>0.11531835946717968</v>
      </c>
    </row>
    <row r="117" spans="1:6" ht="15" customHeight="1" x14ac:dyDescent="0.2">
      <c r="A117" s="147">
        <v>15</v>
      </c>
      <c r="B117" s="169" t="s">
        <v>203</v>
      </c>
      <c r="C117" s="157">
        <v>1766641</v>
      </c>
      <c r="D117" s="157">
        <v>2130597</v>
      </c>
      <c r="E117" s="157">
        <f t="shared" si="4"/>
        <v>363956</v>
      </c>
      <c r="F117" s="161">
        <f t="shared" si="5"/>
        <v>0.20601582324875287</v>
      </c>
    </row>
    <row r="118" spans="1:6" ht="15" customHeight="1" x14ac:dyDescent="0.2">
      <c r="A118" s="147">
        <v>16</v>
      </c>
      <c r="B118" s="169" t="s">
        <v>247</v>
      </c>
      <c r="C118" s="157">
        <v>1455374</v>
      </c>
      <c r="D118" s="157">
        <v>1516615</v>
      </c>
      <c r="E118" s="157">
        <f t="shared" si="4"/>
        <v>61241</v>
      </c>
      <c r="F118" s="161">
        <f t="shared" si="5"/>
        <v>4.207921812537533E-2</v>
      </c>
    </row>
    <row r="119" spans="1:6" ht="15" customHeight="1" x14ac:dyDescent="0.2">
      <c r="A119" s="147">
        <v>17</v>
      </c>
      <c r="B119" s="169" t="s">
        <v>248</v>
      </c>
      <c r="C119" s="157">
        <v>17795584</v>
      </c>
      <c r="D119" s="157">
        <v>18949110</v>
      </c>
      <c r="E119" s="157">
        <f t="shared" si="4"/>
        <v>1153526</v>
      </c>
      <c r="F119" s="161">
        <f t="shared" si="5"/>
        <v>6.4820912873665731E-2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117149666</v>
      </c>
      <c r="D121" s="158">
        <f>SUM(D103:D120)</f>
        <v>129871371</v>
      </c>
      <c r="E121" s="158">
        <f t="shared" si="4"/>
        <v>12721705</v>
      </c>
      <c r="F121" s="159">
        <f t="shared" si="5"/>
        <v>0.10859360879441175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963457</v>
      </c>
      <c r="D124" s="157">
        <v>828042</v>
      </c>
      <c r="E124" s="157">
        <f t="shared" ref="E124:E130" si="6">D124-C124</f>
        <v>-135415</v>
      </c>
      <c r="F124" s="161">
        <f t="shared" ref="F124:F130" si="7">IF(C124=0,0,E124/C124)</f>
        <v>-0.14055116107932164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2609773</v>
      </c>
      <c r="D126" s="157">
        <v>2177115</v>
      </c>
      <c r="E126" s="157">
        <f t="shared" si="6"/>
        <v>-432658</v>
      </c>
      <c r="F126" s="161">
        <f t="shared" si="7"/>
        <v>-0.16578376740045975</v>
      </c>
    </row>
    <row r="127" spans="1:6" ht="15" customHeight="1" x14ac:dyDescent="0.2">
      <c r="A127" s="147">
        <v>4</v>
      </c>
      <c r="B127" s="169" t="s">
        <v>255</v>
      </c>
      <c r="C127" s="157">
        <v>2924830</v>
      </c>
      <c r="D127" s="157">
        <v>3313182</v>
      </c>
      <c r="E127" s="157">
        <f t="shared" si="6"/>
        <v>388352</v>
      </c>
      <c r="F127" s="161">
        <f t="shared" si="7"/>
        <v>0.13277763152046443</v>
      </c>
    </row>
    <row r="128" spans="1:6" ht="15" customHeight="1" x14ac:dyDescent="0.2">
      <c r="A128" s="147">
        <v>5</v>
      </c>
      <c r="B128" s="169" t="s">
        <v>256</v>
      </c>
      <c r="C128" s="157">
        <v>1643321</v>
      </c>
      <c r="D128" s="157">
        <v>1653808</v>
      </c>
      <c r="E128" s="157">
        <f t="shared" si="6"/>
        <v>10487</v>
      </c>
      <c r="F128" s="161">
        <f t="shared" si="7"/>
        <v>6.3815894764321758E-3</v>
      </c>
    </row>
    <row r="129" spans="1:6" ht="15" customHeight="1" x14ac:dyDescent="0.2">
      <c r="A129" s="147">
        <v>6</v>
      </c>
      <c r="B129" s="169" t="s">
        <v>257</v>
      </c>
      <c r="C129" s="157">
        <v>1405643</v>
      </c>
      <c r="D129" s="157">
        <v>1005209</v>
      </c>
      <c r="E129" s="157">
        <f t="shared" si="6"/>
        <v>-400434</v>
      </c>
      <c r="F129" s="161">
        <f t="shared" si="7"/>
        <v>-0.28487603182315852</v>
      </c>
    </row>
    <row r="130" spans="1:6" ht="15.75" customHeight="1" x14ac:dyDescent="0.25">
      <c r="A130" s="147"/>
      <c r="B130" s="165" t="s">
        <v>258</v>
      </c>
      <c r="C130" s="158">
        <f>SUM(C124:C129)</f>
        <v>9547024</v>
      </c>
      <c r="D130" s="158">
        <f>SUM(D124:D129)</f>
        <v>8977356</v>
      </c>
      <c r="E130" s="158">
        <f t="shared" si="6"/>
        <v>-569668</v>
      </c>
      <c r="F130" s="159">
        <f t="shared" si="7"/>
        <v>-5.9669693927657454E-2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8954089</v>
      </c>
      <c r="D133" s="157">
        <v>9814896</v>
      </c>
      <c r="E133" s="157">
        <f t="shared" ref="E133:E167" si="8">D133-C133</f>
        <v>860807</v>
      </c>
      <c r="F133" s="161">
        <f t="shared" ref="F133:F167" si="9">IF(C133=0,0,E133/C133)</f>
        <v>9.6135631441679886E-2</v>
      </c>
    </row>
    <row r="134" spans="1:6" ht="15" customHeight="1" x14ac:dyDescent="0.2">
      <c r="A134" s="147">
        <v>2</v>
      </c>
      <c r="B134" s="169" t="s">
        <v>261</v>
      </c>
      <c r="C134" s="157">
        <v>1594926</v>
      </c>
      <c r="D134" s="157">
        <v>1728592</v>
      </c>
      <c r="E134" s="157">
        <f t="shared" si="8"/>
        <v>133666</v>
      </c>
      <c r="F134" s="161">
        <f t="shared" si="9"/>
        <v>8.3807023021757743E-2</v>
      </c>
    </row>
    <row r="135" spans="1:6" ht="15" customHeight="1" x14ac:dyDescent="0.2">
      <c r="A135" s="147">
        <v>3</v>
      </c>
      <c r="B135" s="169" t="s">
        <v>262</v>
      </c>
      <c r="C135" s="157">
        <v>1313264</v>
      </c>
      <c r="D135" s="157">
        <v>1347147</v>
      </c>
      <c r="E135" s="157">
        <f t="shared" si="8"/>
        <v>33883</v>
      </c>
      <c r="F135" s="161">
        <f t="shared" si="9"/>
        <v>2.5800600640846015E-2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6424130</v>
      </c>
      <c r="D137" s="157">
        <v>6483216</v>
      </c>
      <c r="E137" s="157">
        <f t="shared" si="8"/>
        <v>59086</v>
      </c>
      <c r="F137" s="161">
        <f t="shared" si="9"/>
        <v>9.1975100130290022E-3</v>
      </c>
    </row>
    <row r="138" spans="1:6" ht="15" customHeight="1" x14ac:dyDescent="0.2">
      <c r="A138" s="147">
        <v>6</v>
      </c>
      <c r="B138" s="169" t="s">
        <v>265</v>
      </c>
      <c r="C138" s="157">
        <v>1722340</v>
      </c>
      <c r="D138" s="157">
        <v>1644473</v>
      </c>
      <c r="E138" s="157">
        <f t="shared" si="8"/>
        <v>-77867</v>
      </c>
      <c r="F138" s="161">
        <f t="shared" si="9"/>
        <v>-4.5210004993206918E-2</v>
      </c>
    </row>
    <row r="139" spans="1:6" ht="15" customHeight="1" x14ac:dyDescent="0.2">
      <c r="A139" s="147">
        <v>7</v>
      </c>
      <c r="B139" s="169" t="s">
        <v>266</v>
      </c>
      <c r="C139" s="157">
        <v>2732126</v>
      </c>
      <c r="D139" s="157">
        <v>2710250</v>
      </c>
      <c r="E139" s="157">
        <f t="shared" si="8"/>
        <v>-21876</v>
      </c>
      <c r="F139" s="161">
        <f t="shared" si="9"/>
        <v>-8.0069513631508948E-3</v>
      </c>
    </row>
    <row r="140" spans="1:6" ht="15" customHeight="1" x14ac:dyDescent="0.2">
      <c r="A140" s="147">
        <v>8</v>
      </c>
      <c r="B140" s="169" t="s">
        <v>267</v>
      </c>
      <c r="C140" s="157">
        <v>1190849</v>
      </c>
      <c r="D140" s="157">
        <v>1536618</v>
      </c>
      <c r="E140" s="157">
        <f t="shared" si="8"/>
        <v>345769</v>
      </c>
      <c r="F140" s="161">
        <f t="shared" si="9"/>
        <v>0.29035503241804794</v>
      </c>
    </row>
    <row r="141" spans="1:6" ht="15" customHeight="1" x14ac:dyDescent="0.2">
      <c r="A141" s="147">
        <v>9</v>
      </c>
      <c r="B141" s="169" t="s">
        <v>268</v>
      </c>
      <c r="C141" s="157">
        <v>2309918</v>
      </c>
      <c r="D141" s="157">
        <v>2249648</v>
      </c>
      <c r="E141" s="157">
        <f t="shared" si="8"/>
        <v>-60270</v>
      </c>
      <c r="F141" s="161">
        <f t="shared" si="9"/>
        <v>-2.6091835294586214E-2</v>
      </c>
    </row>
    <row r="142" spans="1:6" ht="15" customHeight="1" x14ac:dyDescent="0.2">
      <c r="A142" s="147">
        <v>10</v>
      </c>
      <c r="B142" s="169" t="s">
        <v>269</v>
      </c>
      <c r="C142" s="157">
        <v>11054580</v>
      </c>
      <c r="D142" s="157">
        <v>11708482</v>
      </c>
      <c r="E142" s="157">
        <f t="shared" si="8"/>
        <v>653902</v>
      </c>
      <c r="F142" s="161">
        <f t="shared" si="9"/>
        <v>5.9152134228527907E-2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1385138</v>
      </c>
      <c r="D144" s="157">
        <v>1457391</v>
      </c>
      <c r="E144" s="157">
        <f t="shared" si="8"/>
        <v>72253</v>
      </c>
      <c r="F144" s="161">
        <f t="shared" si="9"/>
        <v>5.2163033574993974E-2</v>
      </c>
    </row>
    <row r="145" spans="1:6" ht="15" customHeight="1" x14ac:dyDescent="0.2">
      <c r="A145" s="147">
        <v>13</v>
      </c>
      <c r="B145" s="169" t="s">
        <v>272</v>
      </c>
      <c r="C145" s="157">
        <v>147639</v>
      </c>
      <c r="D145" s="157">
        <v>7350</v>
      </c>
      <c r="E145" s="157">
        <f t="shared" si="8"/>
        <v>-140289</v>
      </c>
      <c r="F145" s="161">
        <f t="shared" si="9"/>
        <v>-0.95021640623412518</v>
      </c>
    </row>
    <row r="146" spans="1:6" ht="15" customHeight="1" x14ac:dyDescent="0.2">
      <c r="A146" s="147">
        <v>14</v>
      </c>
      <c r="B146" s="169" t="s">
        <v>273</v>
      </c>
      <c r="C146" s="157">
        <v>139050</v>
      </c>
      <c r="D146" s="157">
        <v>119111</v>
      </c>
      <c r="E146" s="157">
        <f t="shared" si="8"/>
        <v>-19939</v>
      </c>
      <c r="F146" s="161">
        <f t="shared" si="9"/>
        <v>-0.14339446242358864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1905368</v>
      </c>
      <c r="D150" s="157">
        <v>1933544</v>
      </c>
      <c r="E150" s="157">
        <f t="shared" si="8"/>
        <v>28176</v>
      </c>
      <c r="F150" s="161">
        <f t="shared" si="9"/>
        <v>1.4787694555592411E-2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1196450</v>
      </c>
      <c r="D152" s="157">
        <v>1184053</v>
      </c>
      <c r="E152" s="157">
        <f t="shared" si="8"/>
        <v>-12397</v>
      </c>
      <c r="F152" s="161">
        <f t="shared" si="9"/>
        <v>-1.0361486062936185E-2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2435943</v>
      </c>
      <c r="D154" s="157">
        <v>2193961</v>
      </c>
      <c r="E154" s="157">
        <f t="shared" si="8"/>
        <v>-241982</v>
      </c>
      <c r="F154" s="161">
        <f t="shared" si="9"/>
        <v>-9.9338120801677213E-2</v>
      </c>
    </row>
    <row r="155" spans="1:6" ht="15" customHeight="1" x14ac:dyDescent="0.2">
      <c r="A155" s="147">
        <v>23</v>
      </c>
      <c r="B155" s="169" t="s">
        <v>282</v>
      </c>
      <c r="C155" s="157">
        <v>570066</v>
      </c>
      <c r="D155" s="157">
        <v>428697</v>
      </c>
      <c r="E155" s="157">
        <f t="shared" si="8"/>
        <v>-141369</v>
      </c>
      <c r="F155" s="161">
        <f t="shared" si="9"/>
        <v>-0.24798707518076854</v>
      </c>
    </row>
    <row r="156" spans="1:6" ht="15" customHeight="1" x14ac:dyDescent="0.2">
      <c r="A156" s="147">
        <v>24</v>
      </c>
      <c r="B156" s="169" t="s">
        <v>283</v>
      </c>
      <c r="C156" s="157">
        <v>19026756</v>
      </c>
      <c r="D156" s="157">
        <v>19504065</v>
      </c>
      <c r="E156" s="157">
        <f t="shared" si="8"/>
        <v>477309</v>
      </c>
      <c r="F156" s="161">
        <f t="shared" si="9"/>
        <v>2.5086199665355462E-2</v>
      </c>
    </row>
    <row r="157" spans="1:6" ht="15" customHeight="1" x14ac:dyDescent="0.2">
      <c r="A157" s="147">
        <v>25</v>
      </c>
      <c r="B157" s="169" t="s">
        <v>284</v>
      </c>
      <c r="C157" s="157">
        <v>2727856</v>
      </c>
      <c r="D157" s="157">
        <v>2778896</v>
      </c>
      <c r="E157" s="157">
        <f t="shared" si="8"/>
        <v>51040</v>
      </c>
      <c r="F157" s="161">
        <f t="shared" si="9"/>
        <v>1.8710665079095083E-2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540727</v>
      </c>
      <c r="D159" s="157">
        <v>516771</v>
      </c>
      <c r="E159" s="157">
        <f t="shared" si="8"/>
        <v>-23956</v>
      </c>
      <c r="F159" s="161">
        <f t="shared" si="9"/>
        <v>-4.4303317570604017E-2</v>
      </c>
    </row>
    <row r="160" spans="1:6" ht="15" customHeight="1" x14ac:dyDescent="0.2">
      <c r="A160" s="147">
        <v>28</v>
      </c>
      <c r="B160" s="169" t="s">
        <v>287</v>
      </c>
      <c r="C160" s="157">
        <v>1071717</v>
      </c>
      <c r="D160" s="157">
        <v>1271821</v>
      </c>
      <c r="E160" s="157">
        <f t="shared" si="8"/>
        <v>200104</v>
      </c>
      <c r="F160" s="161">
        <f t="shared" si="9"/>
        <v>0.18671347006719125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333900</v>
      </c>
      <c r="D162" s="157">
        <v>291900</v>
      </c>
      <c r="E162" s="157">
        <f t="shared" si="8"/>
        <v>-42000</v>
      </c>
      <c r="F162" s="161">
        <f t="shared" si="9"/>
        <v>-0.12578616352201258</v>
      </c>
    </row>
    <row r="163" spans="1:6" ht="15" customHeight="1" x14ac:dyDescent="0.2">
      <c r="A163" s="147">
        <v>31</v>
      </c>
      <c r="B163" s="169" t="s">
        <v>290</v>
      </c>
      <c r="C163" s="157">
        <v>1718888</v>
      </c>
      <c r="D163" s="157">
        <v>1970144</v>
      </c>
      <c r="E163" s="157">
        <f t="shared" si="8"/>
        <v>251256</v>
      </c>
      <c r="F163" s="161">
        <f t="shared" si="9"/>
        <v>0.14617357268187339</v>
      </c>
    </row>
    <row r="164" spans="1:6" ht="15" customHeight="1" x14ac:dyDescent="0.2">
      <c r="A164" s="147">
        <v>32</v>
      </c>
      <c r="B164" s="169" t="s">
        <v>291</v>
      </c>
      <c r="C164" s="157">
        <v>2258164</v>
      </c>
      <c r="D164" s="157">
        <v>2547062</v>
      </c>
      <c r="E164" s="157">
        <f t="shared" si="8"/>
        <v>288898</v>
      </c>
      <c r="F164" s="161">
        <f t="shared" si="9"/>
        <v>0.12793490641069472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13181564</v>
      </c>
      <c r="D166" s="157">
        <v>14506442</v>
      </c>
      <c r="E166" s="157">
        <f t="shared" si="8"/>
        <v>1324878</v>
      </c>
      <c r="F166" s="161">
        <f t="shared" si="9"/>
        <v>0.10050992431550611</v>
      </c>
    </row>
    <row r="167" spans="1:6" ht="15.75" customHeight="1" x14ac:dyDescent="0.25">
      <c r="A167" s="147"/>
      <c r="B167" s="165" t="s">
        <v>294</v>
      </c>
      <c r="C167" s="158">
        <f>SUM(C133:C166)</f>
        <v>85935448</v>
      </c>
      <c r="D167" s="158">
        <f>SUM(D133:D166)</f>
        <v>89934530</v>
      </c>
      <c r="E167" s="158">
        <f t="shared" si="8"/>
        <v>3999082</v>
      </c>
      <c r="F167" s="159">
        <f t="shared" si="9"/>
        <v>4.653588353900244E-2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24146814</v>
      </c>
      <c r="D170" s="157">
        <v>24622765</v>
      </c>
      <c r="E170" s="157">
        <f t="shared" ref="E170:E183" si="10">D170-C170</f>
        <v>475951</v>
      </c>
      <c r="F170" s="161">
        <f t="shared" ref="F170:F183" si="11">IF(C170=0,0,E170/C170)</f>
        <v>1.9710716287457217E-2</v>
      </c>
    </row>
    <row r="171" spans="1:6" ht="15" customHeight="1" x14ac:dyDescent="0.2">
      <c r="A171" s="147">
        <v>2</v>
      </c>
      <c r="B171" s="169" t="s">
        <v>297</v>
      </c>
      <c r="C171" s="157">
        <v>3270993</v>
      </c>
      <c r="D171" s="157">
        <v>3183054</v>
      </c>
      <c r="E171" s="157">
        <f t="shared" si="10"/>
        <v>-87939</v>
      </c>
      <c r="F171" s="161">
        <f t="shared" si="11"/>
        <v>-2.6884496542792968E-2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2211156</v>
      </c>
      <c r="D173" s="157">
        <v>2978458</v>
      </c>
      <c r="E173" s="157">
        <f t="shared" si="10"/>
        <v>767302</v>
      </c>
      <c r="F173" s="161">
        <f t="shared" si="11"/>
        <v>0.34701396011859859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4686844</v>
      </c>
      <c r="D175" s="157">
        <v>4814598</v>
      </c>
      <c r="E175" s="157">
        <f t="shared" si="10"/>
        <v>127754</v>
      </c>
      <c r="F175" s="161">
        <f t="shared" si="11"/>
        <v>2.7258001333093227E-2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0</v>
      </c>
      <c r="D179" s="157">
        <v>0</v>
      </c>
      <c r="E179" s="157">
        <f t="shared" si="10"/>
        <v>0</v>
      </c>
      <c r="F179" s="161">
        <f t="shared" si="11"/>
        <v>0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3513875</v>
      </c>
      <c r="D181" s="157">
        <v>3618768</v>
      </c>
      <c r="E181" s="157">
        <f t="shared" si="10"/>
        <v>104893</v>
      </c>
      <c r="F181" s="161">
        <f t="shared" si="11"/>
        <v>2.9851090320515101E-2</v>
      </c>
    </row>
    <row r="182" spans="1:6" ht="15" customHeight="1" x14ac:dyDescent="0.2">
      <c r="A182" s="147">
        <v>13</v>
      </c>
      <c r="B182" s="169" t="s">
        <v>308</v>
      </c>
      <c r="C182" s="157">
        <v>692573</v>
      </c>
      <c r="D182" s="157">
        <v>856495</v>
      </c>
      <c r="E182" s="157">
        <f t="shared" si="10"/>
        <v>163922</v>
      </c>
      <c r="F182" s="161">
        <f t="shared" si="11"/>
        <v>0.23668551907163576</v>
      </c>
    </row>
    <row r="183" spans="1:6" ht="15.75" customHeight="1" x14ac:dyDescent="0.25">
      <c r="A183" s="147"/>
      <c r="B183" s="165" t="s">
        <v>309</v>
      </c>
      <c r="C183" s="158">
        <f>SUM(C170:C182)</f>
        <v>38522255</v>
      </c>
      <c r="D183" s="158">
        <f>SUM(D170:D182)</f>
        <v>40074138</v>
      </c>
      <c r="E183" s="158">
        <f t="shared" si="10"/>
        <v>1551883</v>
      </c>
      <c r="F183" s="159">
        <f t="shared" si="11"/>
        <v>4.0285362318483176E-2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251154393</v>
      </c>
      <c r="D188" s="158">
        <f>+D186+D183+D167+D130+D121</f>
        <v>268857395</v>
      </c>
      <c r="E188" s="158">
        <f>D188-C188</f>
        <v>17703002</v>
      </c>
      <c r="F188" s="159">
        <f>IF(C188=0,0,E188/C188)</f>
        <v>7.0486531366385455E-2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FILING&amp;RWILLIAM W. BACKUS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opLeftCell="A160"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293617939</v>
      </c>
      <c r="D11" s="183">
        <v>285527689</v>
      </c>
      <c r="E11" s="76">
        <v>300143644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7047673</v>
      </c>
      <c r="D12" s="185">
        <v>6576794</v>
      </c>
      <c r="E12" s="185">
        <v>5244953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300665612</v>
      </c>
      <c r="D13" s="76">
        <f>+D11+D12</f>
        <v>292104483</v>
      </c>
      <c r="E13" s="76">
        <f>+E11+E12</f>
        <v>305388597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252028161</v>
      </c>
      <c r="D14" s="185">
        <v>251154393</v>
      </c>
      <c r="E14" s="185">
        <v>268857395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48637451</v>
      </c>
      <c r="D15" s="76">
        <f>+D13-D14</f>
        <v>40950090</v>
      </c>
      <c r="E15" s="76">
        <f>+E13-E14</f>
        <v>36531202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9066264</v>
      </c>
      <c r="D16" s="185">
        <v>-825184</v>
      </c>
      <c r="E16" s="185">
        <v>31822990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57703715</v>
      </c>
      <c r="D17" s="76">
        <f>D15+D16</f>
        <v>40124906</v>
      </c>
      <c r="E17" s="76">
        <f>E15+E16</f>
        <v>68354192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0.15703082171626404</v>
      </c>
      <c r="D20" s="189">
        <f>IF(+D27=0,0,+D24/+D27)</f>
        <v>0.14058702468931716</v>
      </c>
      <c r="E20" s="189">
        <f>IF(+E27=0,0,+E24/+E27)</f>
        <v>0.10833317539589765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2.9271330148789722E-2</v>
      </c>
      <c r="D21" s="189">
        <f>IF(D27=0,0,+D26/D27)</f>
        <v>-2.8329647964443912E-3</v>
      </c>
      <c r="E21" s="189">
        <f>IF(E27=0,0,+E26/E27)</f>
        <v>9.4370986131031134E-2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0.18630215186505375</v>
      </c>
      <c r="D22" s="189">
        <f>IF(D27=0,0,+D28/D27)</f>
        <v>0.13775405989287279</v>
      </c>
      <c r="E22" s="189">
        <f>IF(E27=0,0,+E28/E27)</f>
        <v>0.2027041615269288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48637451</v>
      </c>
      <c r="D24" s="76">
        <f>+D15</f>
        <v>40950090</v>
      </c>
      <c r="E24" s="76">
        <f>+E15</f>
        <v>36531202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300665612</v>
      </c>
      <c r="D25" s="76">
        <f>+D13</f>
        <v>292104483</v>
      </c>
      <c r="E25" s="76">
        <f>+E13</f>
        <v>305388597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9066264</v>
      </c>
      <c r="D26" s="76">
        <f>+D16</f>
        <v>-825184</v>
      </c>
      <c r="E26" s="76">
        <f>+E16</f>
        <v>31822990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309731876</v>
      </c>
      <c r="D27" s="76">
        <f>+D25+D26</f>
        <v>291279299</v>
      </c>
      <c r="E27" s="76">
        <f>+E25+E26</f>
        <v>337211587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57703715</v>
      </c>
      <c r="D28" s="76">
        <f>+D17</f>
        <v>40124906</v>
      </c>
      <c r="E28" s="76">
        <f>+E17</f>
        <v>68354192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342576048</v>
      </c>
      <c r="D31" s="76">
        <v>355064529</v>
      </c>
      <c r="E31" s="76">
        <v>403758252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354463494</v>
      </c>
      <c r="D32" s="76">
        <v>367076887</v>
      </c>
      <c r="E32" s="76">
        <v>416492635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28990556</v>
      </c>
      <c r="D33" s="76">
        <f>+D32-C32</f>
        <v>12613393</v>
      </c>
      <c r="E33" s="76">
        <f>+E32-D32</f>
        <v>49415748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1.089</v>
      </c>
      <c r="D34" s="193">
        <f>IF(C32=0,0,+D33/C32)</f>
        <v>3.5584462754294242E-2</v>
      </c>
      <c r="E34" s="193">
        <f>IF(D32=0,0,+E33/D32)</f>
        <v>0.13461961172183526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0.35559386651342284</v>
      </c>
      <c r="D38" s="195">
        <f>IF((D40+D41)=0,0,+D39/(D40+D41))</f>
        <v>0.33703858560658517</v>
      </c>
      <c r="E38" s="195">
        <f>IF((E40+E41)=0,0,+E39/(E40+E41))</f>
        <v>0.33872982357473108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252028161</v>
      </c>
      <c r="D39" s="76">
        <v>251154393</v>
      </c>
      <c r="E39" s="196">
        <v>268857395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701705462</v>
      </c>
      <c r="D40" s="76">
        <v>738603146</v>
      </c>
      <c r="E40" s="196">
        <v>788477289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7047373</v>
      </c>
      <c r="D41" s="76">
        <v>6576794</v>
      </c>
      <c r="E41" s="196">
        <v>5244953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1.8116617219424958</v>
      </c>
      <c r="D43" s="197">
        <f>IF(D38=0,0,IF((D46-D47)=0,0,((+D44-D45)/(D46-D47)/D38)))</f>
        <v>1.9051747814210502</v>
      </c>
      <c r="E43" s="197">
        <f>IF(E38=0,0,IF((E46-E47)=0,0,((+E44-E45)/(E46-E47)/E38)))</f>
        <v>1.8854422373879136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158851096</v>
      </c>
      <c r="D44" s="76">
        <v>161210342</v>
      </c>
      <c r="E44" s="196">
        <v>170099126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2184757</v>
      </c>
      <c r="D45" s="76">
        <v>1796064</v>
      </c>
      <c r="E45" s="196">
        <v>2007405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256207079</v>
      </c>
      <c r="D46" s="76">
        <v>259219959</v>
      </c>
      <c r="E46" s="196">
        <v>276547279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13017856</v>
      </c>
      <c r="D47" s="76">
        <v>10956519</v>
      </c>
      <c r="E47" s="76">
        <v>13351054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0.96674327854721287</v>
      </c>
      <c r="D49" s="198">
        <f>IF(D38=0,0,IF(D51=0,0,(D50/D51)/D38))</f>
        <v>0.95436958894834978</v>
      </c>
      <c r="E49" s="198">
        <f>IF(E38=0,0,IF(E51=0,0,(E50/E51)/E38))</f>
        <v>0.91630503195599033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99158218</v>
      </c>
      <c r="D50" s="199">
        <v>98008978</v>
      </c>
      <c r="E50" s="199">
        <v>100345526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288445183</v>
      </c>
      <c r="D51" s="199">
        <v>304698029</v>
      </c>
      <c r="E51" s="199">
        <v>323299108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0.70201927064326652</v>
      </c>
      <c r="D53" s="198">
        <f>IF(D38=0,0,IF(D55=0,0,(D54/D55)/D38))</f>
        <v>0.61550600922145537</v>
      </c>
      <c r="E53" s="198">
        <f>IF(E38=0,0,IF(E55=0,0,(E54/E55)/E38))</f>
        <v>0.65008651385697058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35424169</v>
      </c>
      <c r="D54" s="199">
        <v>32856592</v>
      </c>
      <c r="E54" s="199">
        <v>37758057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141904568</v>
      </c>
      <c r="D55" s="199">
        <v>158383740</v>
      </c>
      <c r="E55" s="199">
        <v>171468775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4708339.0890719993</v>
      </c>
      <c r="D57" s="88">
        <f>+D60*D38</f>
        <v>4285425.7307111798</v>
      </c>
      <c r="E57" s="88">
        <f>+E60*E38</f>
        <v>4289261.2353656329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5111796</v>
      </c>
      <c r="D58" s="199">
        <v>4033618</v>
      </c>
      <c r="E58" s="199">
        <v>4292994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8128981</v>
      </c>
      <c r="D59" s="199">
        <v>8681323</v>
      </c>
      <c r="E59" s="199">
        <v>8369786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13240777</v>
      </c>
      <c r="D60" s="76">
        <v>12714941</v>
      </c>
      <c r="E60" s="201">
        <v>12662780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1.8681797583215309E-2</v>
      </c>
      <c r="D62" s="202">
        <f>IF(D63=0,0,+D57/D63)</f>
        <v>1.7062913690349745E-2</v>
      </c>
      <c r="E62" s="202">
        <f>IF(E63=0,0,+E57/E63)</f>
        <v>1.5953666572443109E-2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252028161</v>
      </c>
      <c r="D63" s="199">
        <v>251154393</v>
      </c>
      <c r="E63" s="199">
        <v>268857395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6.0358068866328676</v>
      </c>
      <c r="D67" s="203">
        <f>IF(D69=0,0,D68/D69)</f>
        <v>6.7517577991303321</v>
      </c>
      <c r="E67" s="203">
        <f>IF(E69=0,0,E68/E69)</f>
        <v>3.0564523039890172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236054788</v>
      </c>
      <c r="D68" s="204">
        <v>243921679</v>
      </c>
      <c r="E68" s="204">
        <v>98582996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39109069</v>
      </c>
      <c r="D69" s="204">
        <v>36127137</v>
      </c>
      <c r="E69" s="204">
        <v>32254060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288.78425591475224</v>
      </c>
      <c r="D71" s="203">
        <f>IF((D77/365)=0,0,+D74/(D77/365))</f>
        <v>297.95106877407318</v>
      </c>
      <c r="E71" s="203">
        <f>IF((E77/365)=0,0,+E74/(E77/365))</f>
        <v>69.883206898938795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187018905</v>
      </c>
      <c r="D72" s="183">
        <v>192740131</v>
      </c>
      <c r="E72" s="183">
        <v>48818546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187018905</v>
      </c>
      <c r="D74" s="204">
        <f>+D72+D73</f>
        <v>192740131</v>
      </c>
      <c r="E74" s="204">
        <f>+E72+E73</f>
        <v>48818546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252028161</v>
      </c>
      <c r="D75" s="204">
        <f>+D14</f>
        <v>251154393</v>
      </c>
      <c r="E75" s="204">
        <f>+E14</f>
        <v>268857395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15651354</v>
      </c>
      <c r="D76" s="204">
        <v>15041302</v>
      </c>
      <c r="E76" s="204">
        <v>13878122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236376807</v>
      </c>
      <c r="D77" s="204">
        <f>+D75-D76</f>
        <v>236113091</v>
      </c>
      <c r="E77" s="204">
        <f>+E75-E76</f>
        <v>254979273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35.979811182449588</v>
      </c>
      <c r="D79" s="203">
        <f>IF((D84/365)=0,0,+D83/(D84/365))</f>
        <v>34.343438982549955</v>
      </c>
      <c r="E79" s="203">
        <f>IF((E84/365)=0,0,+E83/(E84/365))</f>
        <v>37.568182503308321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36980052</v>
      </c>
      <c r="D80" s="212">
        <v>36077266</v>
      </c>
      <c r="E80" s="212">
        <v>37772680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8036715</v>
      </c>
      <c r="D82" s="212">
        <v>9211505</v>
      </c>
      <c r="E82" s="212">
        <v>6879937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28943337</v>
      </c>
      <c r="D83" s="212">
        <f>+D80+D81-D82</f>
        <v>26865761</v>
      </c>
      <c r="E83" s="212">
        <f>+E80+E81-E82</f>
        <v>30892743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293617939</v>
      </c>
      <c r="D84" s="204">
        <f>+D11</f>
        <v>285527689</v>
      </c>
      <c r="E84" s="204">
        <f>+E11</f>
        <v>300143644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60.390062655343336</v>
      </c>
      <c r="D86" s="203">
        <f>IF((D90/365)=0,0,+D87/(D90/365))</f>
        <v>55.847835243493549</v>
      </c>
      <c r="E86" s="203">
        <f>IF((E90/365)=0,0,+E87/(E90/365))</f>
        <v>46.17132899269032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39109069</v>
      </c>
      <c r="D87" s="76">
        <f>+D69</f>
        <v>36127137</v>
      </c>
      <c r="E87" s="76">
        <f>+E69</f>
        <v>32254060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252028161</v>
      </c>
      <c r="D88" s="76">
        <f t="shared" si="0"/>
        <v>251154393</v>
      </c>
      <c r="E88" s="76">
        <f t="shared" si="0"/>
        <v>268857395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15651354</v>
      </c>
      <c r="D89" s="201">
        <f t="shared" si="0"/>
        <v>15041302</v>
      </c>
      <c r="E89" s="201">
        <f t="shared" si="0"/>
        <v>13878122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236376807</v>
      </c>
      <c r="D90" s="76">
        <f>+D88-D89</f>
        <v>236113091</v>
      </c>
      <c r="E90" s="76">
        <f>+E88-E89</f>
        <v>254979273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69.037942153291667</v>
      </c>
      <c r="D94" s="214">
        <f>IF(D96=0,0,(D95/D96)*100)</f>
        <v>68.819304252268722</v>
      </c>
      <c r="E94" s="214">
        <f>IF(E96=0,0,(E95/E96)*100)</f>
        <v>70.681768068846679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354463494</v>
      </c>
      <c r="D95" s="76">
        <f>+D32</f>
        <v>367076887</v>
      </c>
      <c r="E95" s="76">
        <f>+E32</f>
        <v>416492635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513432879</v>
      </c>
      <c r="D96" s="76">
        <v>533392325</v>
      </c>
      <c r="E96" s="76">
        <v>589250448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68.35887024676704</v>
      </c>
      <c r="D98" s="214">
        <f>IF(D104=0,0,(D101/D104)*100)</f>
        <v>52.790776670966608</v>
      </c>
      <c r="E98" s="214">
        <f>IF(E104=0,0,(E101/E104)*100)</f>
        <v>82.133527899319091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57703715</v>
      </c>
      <c r="D99" s="76">
        <f>+D28</f>
        <v>40124906</v>
      </c>
      <c r="E99" s="76">
        <f>+E28</f>
        <v>68354192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15651354</v>
      </c>
      <c r="D100" s="201">
        <f>+D76</f>
        <v>15041302</v>
      </c>
      <c r="E100" s="201">
        <f>+E76</f>
        <v>13878122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73355069</v>
      </c>
      <c r="D101" s="76">
        <f>+D99+D100</f>
        <v>55166208</v>
      </c>
      <c r="E101" s="76">
        <f>+E99+E100</f>
        <v>82232314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39109069</v>
      </c>
      <c r="D102" s="204">
        <f>+D69</f>
        <v>36127137</v>
      </c>
      <c r="E102" s="204">
        <f>+E69</f>
        <v>32254060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68199710</v>
      </c>
      <c r="D103" s="216">
        <v>68372572</v>
      </c>
      <c r="E103" s="216">
        <v>67866215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107308779</v>
      </c>
      <c r="D104" s="204">
        <f>+D102+D103</f>
        <v>104499709</v>
      </c>
      <c r="E104" s="204">
        <f>+E102+E103</f>
        <v>100120275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16.135710266370857</v>
      </c>
      <c r="D106" s="214">
        <f>IF(D109=0,0,(D107/D109)*100)</f>
        <v>15.701609127501523</v>
      </c>
      <c r="E106" s="214">
        <f>IF(E109=0,0,(E107/E109)*100)</f>
        <v>14.011556720807311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68199710</v>
      </c>
      <c r="D107" s="204">
        <f>+D103</f>
        <v>68372572</v>
      </c>
      <c r="E107" s="204">
        <f>+E103</f>
        <v>67866215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354463494</v>
      </c>
      <c r="D108" s="204">
        <f>+D32</f>
        <v>367076887</v>
      </c>
      <c r="E108" s="204">
        <f>+E32</f>
        <v>416492635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422663204</v>
      </c>
      <c r="D109" s="204">
        <f>+D107+D108</f>
        <v>435449459</v>
      </c>
      <c r="E109" s="204">
        <f>+E107+E108</f>
        <v>484358850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14.071965706953108</v>
      </c>
      <c r="D111" s="214">
        <f>IF((+D113+D115)=0,0,((+D112+D113+D114)/(+D113+D115)))</f>
        <v>15.541693798882786</v>
      </c>
      <c r="E111" s="214">
        <f>IF((+E113+E115)=0,0,((+E112+E113+E114)/(+E113+E115)))</f>
        <v>22.707106370212234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57703715</v>
      </c>
      <c r="D112" s="76">
        <f>+D17</f>
        <v>40124906</v>
      </c>
      <c r="E112" s="76">
        <f>+E17</f>
        <v>68354192</v>
      </c>
    </row>
    <row r="113" spans="1:8" ht="24" customHeight="1" x14ac:dyDescent="0.2">
      <c r="A113" s="85">
        <v>17</v>
      </c>
      <c r="B113" s="75" t="s">
        <v>88</v>
      </c>
      <c r="C113" s="218">
        <v>2992001</v>
      </c>
      <c r="D113" s="76">
        <v>3380083</v>
      </c>
      <c r="E113" s="76">
        <v>3369912</v>
      </c>
    </row>
    <row r="114" spans="1:8" ht="24" customHeight="1" x14ac:dyDescent="0.2">
      <c r="A114" s="85">
        <v>18</v>
      </c>
      <c r="B114" s="75" t="s">
        <v>374</v>
      </c>
      <c r="C114" s="218">
        <v>15651354</v>
      </c>
      <c r="D114" s="76">
        <v>15041302</v>
      </c>
      <c r="E114" s="76">
        <v>13878122</v>
      </c>
    </row>
    <row r="115" spans="1:8" ht="24" customHeight="1" x14ac:dyDescent="0.2">
      <c r="A115" s="85">
        <v>19</v>
      </c>
      <c r="B115" s="75" t="s">
        <v>104</v>
      </c>
      <c r="C115" s="218">
        <v>2433472</v>
      </c>
      <c r="D115" s="76">
        <v>386964</v>
      </c>
      <c r="E115" s="76">
        <v>399931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11.197957058539473</v>
      </c>
      <c r="D119" s="214">
        <f>IF(+D121=0,0,(+D120)/(+D121))</f>
        <v>12.53122588722705</v>
      </c>
      <c r="E119" s="214">
        <f>IF(+E121=0,0,(+E120)/(+E121))</f>
        <v>14.419273803761056</v>
      </c>
    </row>
    <row r="120" spans="1:8" ht="24" customHeight="1" x14ac:dyDescent="0.2">
      <c r="A120" s="85">
        <v>21</v>
      </c>
      <c r="B120" s="75" t="s">
        <v>378</v>
      </c>
      <c r="C120" s="218">
        <v>175263190</v>
      </c>
      <c r="D120" s="218">
        <v>188485953</v>
      </c>
      <c r="E120" s="218">
        <v>200112441</v>
      </c>
    </row>
    <row r="121" spans="1:8" ht="24" customHeight="1" x14ac:dyDescent="0.2">
      <c r="A121" s="85">
        <v>22</v>
      </c>
      <c r="B121" s="75" t="s">
        <v>374</v>
      </c>
      <c r="C121" s="218">
        <v>15651354</v>
      </c>
      <c r="D121" s="218">
        <v>15041302</v>
      </c>
      <c r="E121" s="218">
        <v>13878122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48840</v>
      </c>
      <c r="D124" s="218">
        <v>47919</v>
      </c>
      <c r="E124" s="218">
        <v>46555</v>
      </c>
    </row>
    <row r="125" spans="1:8" ht="24" customHeight="1" x14ac:dyDescent="0.2">
      <c r="A125" s="85">
        <v>2</v>
      </c>
      <c r="B125" s="75" t="s">
        <v>381</v>
      </c>
      <c r="C125" s="218">
        <v>10690</v>
      </c>
      <c r="D125" s="218">
        <v>10803</v>
      </c>
      <c r="E125" s="218">
        <v>10607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4.568755846585594</v>
      </c>
      <c r="D126" s="219">
        <f>IF(D125=0,0,D124/D125)</f>
        <v>4.4357123021382945</v>
      </c>
      <c r="E126" s="219">
        <f>IF(E125=0,0,E124/E125)</f>
        <v>4.3890826812482322</v>
      </c>
    </row>
    <row r="127" spans="1:8" ht="24" customHeight="1" x14ac:dyDescent="0.2">
      <c r="A127" s="85">
        <v>4</v>
      </c>
      <c r="B127" s="75" t="s">
        <v>383</v>
      </c>
      <c r="C127" s="218">
        <v>201</v>
      </c>
      <c r="D127" s="218">
        <v>201</v>
      </c>
      <c r="E127" s="218">
        <v>201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233</v>
      </c>
      <c r="E128" s="218">
        <v>233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233</v>
      </c>
      <c r="D129" s="218">
        <v>233</v>
      </c>
      <c r="E129" s="218">
        <v>233</v>
      </c>
    </row>
    <row r="130" spans="1:7" ht="24" customHeight="1" x14ac:dyDescent="0.2">
      <c r="A130" s="85">
        <v>7</v>
      </c>
      <c r="B130" s="75" t="s">
        <v>386</v>
      </c>
      <c r="C130" s="193">
        <v>0.66569999999999996</v>
      </c>
      <c r="D130" s="193">
        <v>0.65310000000000001</v>
      </c>
      <c r="E130" s="193">
        <v>0.63449999999999995</v>
      </c>
    </row>
    <row r="131" spans="1:7" ht="24" customHeight="1" x14ac:dyDescent="0.2">
      <c r="A131" s="85">
        <v>8</v>
      </c>
      <c r="B131" s="75" t="s">
        <v>387</v>
      </c>
      <c r="C131" s="193">
        <v>0.57420000000000004</v>
      </c>
      <c r="D131" s="193">
        <v>0.56340000000000001</v>
      </c>
      <c r="E131" s="193">
        <v>0.5474</v>
      </c>
    </row>
    <row r="132" spans="1:7" ht="24" customHeight="1" x14ac:dyDescent="0.2">
      <c r="A132" s="85">
        <v>9</v>
      </c>
      <c r="B132" s="75" t="s">
        <v>388</v>
      </c>
      <c r="C132" s="219">
        <v>1457</v>
      </c>
      <c r="D132" s="219">
        <v>1423.5</v>
      </c>
      <c r="E132" s="219">
        <v>1406.9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0.34656880439103666</v>
      </c>
      <c r="D135" s="227">
        <f>IF(D149=0,0,D143/D149)</f>
        <v>0.33612561948118214</v>
      </c>
      <c r="E135" s="227">
        <f>IF(E149=0,0,E143/E149)</f>
        <v>0.33380317819147737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0.41106304371334651</v>
      </c>
      <c r="D136" s="227">
        <f>IF(D149=0,0,D144/D149)</f>
        <v>0.41253280689383903</v>
      </c>
      <c r="E136" s="227">
        <f>IF(E149=0,0,E144/E149)</f>
        <v>0.41002970219983087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0.20222810806623021</v>
      </c>
      <c r="D137" s="227">
        <f>IF(D149=0,0,D145/D149)</f>
        <v>0.2144368607929</v>
      </c>
      <c r="E137" s="227">
        <f>IF(E149=0,0,E145/E149)</f>
        <v>0.21746824847354607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5.7995971534848907E-3</v>
      </c>
      <c r="D138" s="227">
        <f>IF(D149=0,0,D146/D149)</f>
        <v>7.1202607631460045E-3</v>
      </c>
      <c r="E138" s="227">
        <f>IF(E149=0,0,E146/E149)</f>
        <v>6.3141159161529126E-3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1.8551738165036545E-2</v>
      </c>
      <c r="D139" s="227">
        <f>IF(D149=0,0,D147/D149)</f>
        <v>1.4834108220817138E-2</v>
      </c>
      <c r="E139" s="227">
        <f>IF(E149=0,0,E147/E149)</f>
        <v>1.6932705844873105E-2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1.5788708510865203E-2</v>
      </c>
      <c r="D140" s="227">
        <f>IF(D149=0,0,D148/D149)</f>
        <v>1.4950343848115697E-2</v>
      </c>
      <c r="E140" s="227">
        <f>IF(E149=0,0,E148/E149)</f>
        <v>1.5452049374119639E-2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243189223</v>
      </c>
      <c r="D143" s="229">
        <f>+D46-D147</f>
        <v>248263440</v>
      </c>
      <c r="E143" s="229">
        <f>+E46-E147</f>
        <v>263196225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288445183</v>
      </c>
      <c r="D144" s="229">
        <f>+D51</f>
        <v>304698029</v>
      </c>
      <c r="E144" s="229">
        <f>+E51</f>
        <v>323299108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141904568</v>
      </c>
      <c r="D145" s="229">
        <f>+D55</f>
        <v>158383740</v>
      </c>
      <c r="E145" s="229">
        <f>+E55</f>
        <v>171468775</v>
      </c>
    </row>
    <row r="146" spans="1:7" ht="20.100000000000001" customHeight="1" x14ac:dyDescent="0.2">
      <c r="A146" s="226">
        <v>11</v>
      </c>
      <c r="B146" s="224" t="s">
        <v>400</v>
      </c>
      <c r="C146" s="228">
        <v>4069609</v>
      </c>
      <c r="D146" s="229">
        <v>5259047</v>
      </c>
      <c r="E146" s="229">
        <v>4978537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13017856</v>
      </c>
      <c r="D147" s="229">
        <f>+D47</f>
        <v>10956519</v>
      </c>
      <c r="E147" s="229">
        <f>+E47</f>
        <v>13351054</v>
      </c>
    </row>
    <row r="148" spans="1:7" ht="20.100000000000001" customHeight="1" x14ac:dyDescent="0.2">
      <c r="A148" s="226">
        <v>13</v>
      </c>
      <c r="B148" s="224" t="s">
        <v>402</v>
      </c>
      <c r="C148" s="230">
        <v>11079023</v>
      </c>
      <c r="D148" s="229">
        <v>11042371</v>
      </c>
      <c r="E148" s="229">
        <v>12183590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701705462</v>
      </c>
      <c r="D149" s="229">
        <f>SUM(D143:D148)</f>
        <v>738603146</v>
      </c>
      <c r="E149" s="229">
        <f>SUM(E143:E148)</f>
        <v>788477289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0.52556415952849522</v>
      </c>
      <c r="D152" s="227">
        <f>IF(D166=0,0,D160/D166)</f>
        <v>0.53741695203428741</v>
      </c>
      <c r="E152" s="227">
        <f>IF(E166=0,0,E160/E166)</f>
        <v>0.53716732401641187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0.3326432840401875</v>
      </c>
      <c r="D153" s="227">
        <f>IF(D166=0,0,D161/D166)</f>
        <v>0.33040758261788522</v>
      </c>
      <c r="E153" s="227">
        <f>IF(E166=0,0,E161/E166)</f>
        <v>0.32067217444004442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0.11883646306103046</v>
      </c>
      <c r="D154" s="227">
        <f>IF(D166=0,0,D162/D166)</f>
        <v>0.1107660477367915</v>
      </c>
      <c r="E154" s="227">
        <f>IF(E166=0,0,E162/E166)</f>
        <v>0.12066266154029767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4.9252252363591095E-3</v>
      </c>
      <c r="D155" s="227">
        <f>IF(D166=0,0,D163/D166)</f>
        <v>4.384427247181414E-3</v>
      </c>
      <c r="E155" s="227">
        <f>IF(E166=0,0,E163/E166)</f>
        <v>4.1475002972062146E-3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7.3291428382646811E-3</v>
      </c>
      <c r="D156" s="227">
        <f>IF(D166=0,0,D164/D166)</f>
        <v>6.0548857520686464E-3</v>
      </c>
      <c r="E156" s="227">
        <f>IF(E166=0,0,E164/E166)</f>
        <v>6.4150236885680122E-3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1.0701725295662998E-2</v>
      </c>
      <c r="D157" s="227">
        <f>IF(D166=0,0,D165/D166)</f>
        <v>1.0970104611785837E-2</v>
      </c>
      <c r="E157" s="227">
        <f>IF(E166=0,0,E165/E166)</f>
        <v>1.0935316017471818E-2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1.0000000000000002</v>
      </c>
      <c r="E158" s="227">
        <f>SUM(E152:E157)</f>
        <v>1.0000000000000002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156666339</v>
      </c>
      <c r="D160" s="229">
        <f>+D44-D164</f>
        <v>159414278</v>
      </c>
      <c r="E160" s="229">
        <f>+E44-E164</f>
        <v>168091721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99158218</v>
      </c>
      <c r="D161" s="229">
        <f>+D50</f>
        <v>98008978</v>
      </c>
      <c r="E161" s="229">
        <f>+E50</f>
        <v>100345526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35424169</v>
      </c>
      <c r="D162" s="229">
        <f>+D54</f>
        <v>32856592</v>
      </c>
      <c r="E162" s="229">
        <f>+E54</f>
        <v>37758057</v>
      </c>
    </row>
    <row r="163" spans="1:6" ht="20.100000000000001" customHeight="1" x14ac:dyDescent="0.2">
      <c r="A163" s="226">
        <v>11</v>
      </c>
      <c r="B163" s="224" t="s">
        <v>415</v>
      </c>
      <c r="C163" s="228">
        <v>1468169</v>
      </c>
      <c r="D163" s="229">
        <v>1300555</v>
      </c>
      <c r="E163" s="229">
        <v>1297846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2184757</v>
      </c>
      <c r="D164" s="229">
        <f>+D45</f>
        <v>1796064</v>
      </c>
      <c r="E164" s="229">
        <f>+E45</f>
        <v>2007405</v>
      </c>
    </row>
    <row r="165" spans="1:6" ht="20.100000000000001" customHeight="1" x14ac:dyDescent="0.2">
      <c r="A165" s="226">
        <v>13</v>
      </c>
      <c r="B165" s="224" t="s">
        <v>417</v>
      </c>
      <c r="C165" s="230">
        <v>3190096</v>
      </c>
      <c r="D165" s="229">
        <v>3254068</v>
      </c>
      <c r="E165" s="229">
        <v>3421906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298091748</v>
      </c>
      <c r="D166" s="229">
        <f>SUM(D160:D165)</f>
        <v>296630535</v>
      </c>
      <c r="E166" s="229">
        <f>SUM(E160:E165)</f>
        <v>312922461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3221</v>
      </c>
      <c r="D169" s="218">
        <v>2940</v>
      </c>
      <c r="E169" s="218">
        <v>2967</v>
      </c>
    </row>
    <row r="170" spans="1:6" ht="20.100000000000001" customHeight="1" x14ac:dyDescent="0.2">
      <c r="A170" s="226">
        <v>2</v>
      </c>
      <c r="B170" s="224" t="s">
        <v>420</v>
      </c>
      <c r="C170" s="218">
        <v>4906</v>
      </c>
      <c r="D170" s="218">
        <v>5025</v>
      </c>
      <c r="E170" s="218">
        <v>4773</v>
      </c>
    </row>
    <row r="171" spans="1:6" ht="20.100000000000001" customHeight="1" x14ac:dyDescent="0.2">
      <c r="A171" s="226">
        <v>3</v>
      </c>
      <c r="B171" s="224" t="s">
        <v>421</v>
      </c>
      <c r="C171" s="218">
        <v>2346</v>
      </c>
      <c r="D171" s="218">
        <v>2626</v>
      </c>
      <c r="E171" s="218">
        <v>2628</v>
      </c>
    </row>
    <row r="172" spans="1:6" ht="20.100000000000001" customHeight="1" x14ac:dyDescent="0.2">
      <c r="A172" s="226">
        <v>4</v>
      </c>
      <c r="B172" s="224" t="s">
        <v>422</v>
      </c>
      <c r="C172" s="218">
        <v>2282</v>
      </c>
      <c r="D172" s="218">
        <v>2528</v>
      </c>
      <c r="E172" s="218">
        <v>2568</v>
      </c>
    </row>
    <row r="173" spans="1:6" ht="20.100000000000001" customHeight="1" x14ac:dyDescent="0.2">
      <c r="A173" s="226">
        <v>5</v>
      </c>
      <c r="B173" s="224" t="s">
        <v>423</v>
      </c>
      <c r="C173" s="218">
        <v>64</v>
      </c>
      <c r="D173" s="218">
        <v>98</v>
      </c>
      <c r="E173" s="218">
        <v>60</v>
      </c>
    </row>
    <row r="174" spans="1:6" ht="20.100000000000001" customHeight="1" x14ac:dyDescent="0.2">
      <c r="A174" s="226">
        <v>6</v>
      </c>
      <c r="B174" s="224" t="s">
        <v>424</v>
      </c>
      <c r="C174" s="218">
        <v>217</v>
      </c>
      <c r="D174" s="218">
        <v>212</v>
      </c>
      <c r="E174" s="218">
        <v>239</v>
      </c>
    </row>
    <row r="175" spans="1:6" ht="20.100000000000001" customHeight="1" x14ac:dyDescent="0.2">
      <c r="A175" s="226">
        <v>7</v>
      </c>
      <c r="B175" s="224" t="s">
        <v>425</v>
      </c>
      <c r="C175" s="218">
        <v>141</v>
      </c>
      <c r="D175" s="218">
        <v>89</v>
      </c>
      <c r="E175" s="218">
        <v>112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10690</v>
      </c>
      <c r="D176" s="218">
        <f>+D169+D170+D171+D174</f>
        <v>10803</v>
      </c>
      <c r="E176" s="218">
        <f>+E169+E170+E171+E174</f>
        <v>10607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1.2708999999999999</v>
      </c>
      <c r="D179" s="231">
        <v>1.3261000000000001</v>
      </c>
      <c r="E179" s="231">
        <v>1.3725000000000001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1.4553</v>
      </c>
      <c r="D180" s="231">
        <v>1.5431999999999999</v>
      </c>
      <c r="E180" s="231">
        <v>1.5696000000000001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1.049671</v>
      </c>
      <c r="D181" s="231">
        <v>1.0766119999999999</v>
      </c>
      <c r="E181" s="231">
        <v>1.0853330000000001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1.0405</v>
      </c>
      <c r="D182" s="231">
        <v>1.0661</v>
      </c>
      <c r="E182" s="231">
        <v>1.0773999999999999</v>
      </c>
    </row>
    <row r="183" spans="1:6" ht="20.100000000000001" customHeight="1" x14ac:dyDescent="0.2">
      <c r="A183" s="226">
        <v>5</v>
      </c>
      <c r="B183" s="224" t="s">
        <v>423</v>
      </c>
      <c r="C183" s="231">
        <v>1.3767</v>
      </c>
      <c r="D183" s="231">
        <v>1.3478000000000001</v>
      </c>
      <c r="E183" s="231">
        <v>1.4249000000000001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0.72919999999999996</v>
      </c>
      <c r="D184" s="231">
        <v>0.63119999999999998</v>
      </c>
      <c r="E184" s="231">
        <v>0.66520000000000001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1.1024</v>
      </c>
      <c r="D185" s="231">
        <v>1.0854999999999999</v>
      </c>
      <c r="E185" s="231">
        <v>1.2406999999999999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1.295981</v>
      </c>
      <c r="D186" s="231">
        <v>1.3528009999999999</v>
      </c>
      <c r="E186" s="231">
        <v>1.374106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6794</v>
      </c>
      <c r="D189" s="218">
        <v>6553</v>
      </c>
      <c r="E189" s="218">
        <v>6342</v>
      </c>
    </row>
    <row r="190" spans="1:6" ht="20.100000000000001" customHeight="1" x14ac:dyDescent="0.2">
      <c r="A190" s="226">
        <v>2</v>
      </c>
      <c r="B190" s="224" t="s">
        <v>433</v>
      </c>
      <c r="C190" s="218">
        <v>72087</v>
      </c>
      <c r="D190" s="218">
        <v>73377</v>
      </c>
      <c r="E190" s="218">
        <v>71857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78881</v>
      </c>
      <c r="D191" s="218">
        <f>+D190+D189</f>
        <v>79930</v>
      </c>
      <c r="E191" s="218">
        <f>+E190+E189</f>
        <v>78199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FILING&amp;RWILLIAM W. BACKUS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opLeftCell="A37"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186218</v>
      </c>
      <c r="D14" s="258">
        <v>576947</v>
      </c>
      <c r="E14" s="258">
        <f t="shared" ref="E14:E24" si="0">D14-C14</f>
        <v>390729</v>
      </c>
      <c r="F14" s="259">
        <f t="shared" ref="F14:F24" si="1">IF(C14=0,0,E14/C14)</f>
        <v>2.098234327508619</v>
      </c>
    </row>
    <row r="15" spans="1:7" ht="20.25" customHeight="1" x14ac:dyDescent="0.3">
      <c r="A15" s="256">
        <v>2</v>
      </c>
      <c r="B15" s="257" t="s">
        <v>442</v>
      </c>
      <c r="C15" s="258">
        <v>108393</v>
      </c>
      <c r="D15" s="258">
        <v>236873</v>
      </c>
      <c r="E15" s="258">
        <f t="shared" si="0"/>
        <v>128480</v>
      </c>
      <c r="F15" s="259">
        <f t="shared" si="1"/>
        <v>1.1853163949701548</v>
      </c>
    </row>
    <row r="16" spans="1:7" ht="20.25" customHeight="1" x14ac:dyDescent="0.3">
      <c r="A16" s="256">
        <v>3</v>
      </c>
      <c r="B16" s="257" t="s">
        <v>443</v>
      </c>
      <c r="C16" s="258">
        <v>175173</v>
      </c>
      <c r="D16" s="258">
        <v>1335161</v>
      </c>
      <c r="E16" s="258">
        <f t="shared" si="0"/>
        <v>1159988</v>
      </c>
      <c r="F16" s="259">
        <f t="shared" si="1"/>
        <v>6.6219565800665627</v>
      </c>
    </row>
    <row r="17" spans="1:6" ht="20.25" customHeight="1" x14ac:dyDescent="0.3">
      <c r="A17" s="256">
        <v>4</v>
      </c>
      <c r="B17" s="257" t="s">
        <v>444</v>
      </c>
      <c r="C17" s="258">
        <v>42874</v>
      </c>
      <c r="D17" s="258">
        <v>265190</v>
      </c>
      <c r="E17" s="258">
        <f t="shared" si="0"/>
        <v>222316</v>
      </c>
      <c r="F17" s="259">
        <f t="shared" si="1"/>
        <v>5.185333768717638</v>
      </c>
    </row>
    <row r="18" spans="1:6" ht="20.25" customHeight="1" x14ac:dyDescent="0.3">
      <c r="A18" s="256">
        <v>5</v>
      </c>
      <c r="B18" s="257" t="s">
        <v>381</v>
      </c>
      <c r="C18" s="260">
        <v>4</v>
      </c>
      <c r="D18" s="260">
        <v>21</v>
      </c>
      <c r="E18" s="260">
        <f t="shared" si="0"/>
        <v>17</v>
      </c>
      <c r="F18" s="259">
        <f t="shared" si="1"/>
        <v>4.25</v>
      </c>
    </row>
    <row r="19" spans="1:6" ht="20.25" customHeight="1" x14ac:dyDescent="0.3">
      <c r="A19" s="256">
        <v>6</v>
      </c>
      <c r="B19" s="257" t="s">
        <v>380</v>
      </c>
      <c r="C19" s="260">
        <v>18</v>
      </c>
      <c r="D19" s="260">
        <v>134</v>
      </c>
      <c r="E19" s="260">
        <f t="shared" si="0"/>
        <v>116</v>
      </c>
      <c r="F19" s="259">
        <f t="shared" si="1"/>
        <v>6.4444444444444446</v>
      </c>
    </row>
    <row r="20" spans="1:6" ht="20.25" customHeight="1" x14ac:dyDescent="0.3">
      <c r="A20" s="256">
        <v>7</v>
      </c>
      <c r="B20" s="257" t="s">
        <v>445</v>
      </c>
      <c r="C20" s="260">
        <v>48</v>
      </c>
      <c r="D20" s="260">
        <v>431</v>
      </c>
      <c r="E20" s="260">
        <f t="shared" si="0"/>
        <v>383</v>
      </c>
      <c r="F20" s="259">
        <f t="shared" si="1"/>
        <v>7.979166666666667</v>
      </c>
    </row>
    <row r="21" spans="1:6" ht="20.25" customHeight="1" x14ac:dyDescent="0.3">
      <c r="A21" s="256">
        <v>8</v>
      </c>
      <c r="B21" s="257" t="s">
        <v>446</v>
      </c>
      <c r="C21" s="260">
        <v>43</v>
      </c>
      <c r="D21" s="260">
        <v>117</v>
      </c>
      <c r="E21" s="260">
        <f t="shared" si="0"/>
        <v>74</v>
      </c>
      <c r="F21" s="259">
        <f t="shared" si="1"/>
        <v>1.7209302325581395</v>
      </c>
    </row>
    <row r="22" spans="1:6" ht="20.25" customHeight="1" x14ac:dyDescent="0.3">
      <c r="A22" s="256">
        <v>9</v>
      </c>
      <c r="B22" s="257" t="s">
        <v>447</v>
      </c>
      <c r="C22" s="260">
        <v>3</v>
      </c>
      <c r="D22" s="260">
        <v>16</v>
      </c>
      <c r="E22" s="260">
        <f t="shared" si="0"/>
        <v>13</v>
      </c>
      <c r="F22" s="259">
        <f t="shared" si="1"/>
        <v>4.333333333333333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361391</v>
      </c>
      <c r="D23" s="263">
        <f>+D14+D16</f>
        <v>1912108</v>
      </c>
      <c r="E23" s="263">
        <f t="shared" si="0"/>
        <v>1550717</v>
      </c>
      <c r="F23" s="264">
        <f t="shared" si="1"/>
        <v>4.2909674009590724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151267</v>
      </c>
      <c r="D24" s="263">
        <f>+D15+D17</f>
        <v>502063</v>
      </c>
      <c r="E24" s="263">
        <f t="shared" si="0"/>
        <v>350796</v>
      </c>
      <c r="F24" s="264">
        <f t="shared" si="1"/>
        <v>2.3190517429445947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12461228</v>
      </c>
      <c r="D40" s="258">
        <v>11670172</v>
      </c>
      <c r="E40" s="258">
        <f t="shared" ref="E40:E50" si="4">D40-C40</f>
        <v>-791056</v>
      </c>
      <c r="F40" s="259">
        <f t="shared" ref="F40:F50" si="5">IF(C40=0,0,E40/C40)</f>
        <v>-6.3481384017690712E-2</v>
      </c>
    </row>
    <row r="41" spans="1:6" ht="20.25" customHeight="1" x14ac:dyDescent="0.3">
      <c r="A41" s="256">
        <v>2</v>
      </c>
      <c r="B41" s="257" t="s">
        <v>442</v>
      </c>
      <c r="C41" s="258">
        <v>5376370</v>
      </c>
      <c r="D41" s="258">
        <v>4985011</v>
      </c>
      <c r="E41" s="258">
        <f t="shared" si="4"/>
        <v>-391359</v>
      </c>
      <c r="F41" s="259">
        <f t="shared" si="5"/>
        <v>-7.2792423140520465E-2</v>
      </c>
    </row>
    <row r="42" spans="1:6" ht="20.25" customHeight="1" x14ac:dyDescent="0.3">
      <c r="A42" s="256">
        <v>3</v>
      </c>
      <c r="B42" s="257" t="s">
        <v>443</v>
      </c>
      <c r="C42" s="258">
        <v>22917613</v>
      </c>
      <c r="D42" s="258">
        <v>23661566</v>
      </c>
      <c r="E42" s="258">
        <f t="shared" si="4"/>
        <v>743953</v>
      </c>
      <c r="F42" s="259">
        <f t="shared" si="5"/>
        <v>3.2462063130222159E-2</v>
      </c>
    </row>
    <row r="43" spans="1:6" ht="20.25" customHeight="1" x14ac:dyDescent="0.3">
      <c r="A43" s="256">
        <v>4</v>
      </c>
      <c r="B43" s="257" t="s">
        <v>444</v>
      </c>
      <c r="C43" s="258">
        <v>5232674</v>
      </c>
      <c r="D43" s="258">
        <v>5081638</v>
      </c>
      <c r="E43" s="258">
        <f t="shared" si="4"/>
        <v>-151036</v>
      </c>
      <c r="F43" s="259">
        <f t="shared" si="5"/>
        <v>-2.8864018664262286E-2</v>
      </c>
    </row>
    <row r="44" spans="1:6" ht="20.25" customHeight="1" x14ac:dyDescent="0.3">
      <c r="A44" s="256">
        <v>5</v>
      </c>
      <c r="B44" s="257" t="s">
        <v>381</v>
      </c>
      <c r="C44" s="260">
        <v>461</v>
      </c>
      <c r="D44" s="260">
        <v>435</v>
      </c>
      <c r="E44" s="260">
        <f t="shared" si="4"/>
        <v>-26</v>
      </c>
      <c r="F44" s="259">
        <f t="shared" si="5"/>
        <v>-5.6399132321041212E-2</v>
      </c>
    </row>
    <row r="45" spans="1:6" ht="20.25" customHeight="1" x14ac:dyDescent="0.3">
      <c r="A45" s="256">
        <v>6</v>
      </c>
      <c r="B45" s="257" t="s">
        <v>380</v>
      </c>
      <c r="C45" s="260">
        <v>2306</v>
      </c>
      <c r="D45" s="260">
        <v>2077</v>
      </c>
      <c r="E45" s="260">
        <f t="shared" si="4"/>
        <v>-229</v>
      </c>
      <c r="F45" s="259">
        <f t="shared" si="5"/>
        <v>-9.9306157849089333E-2</v>
      </c>
    </row>
    <row r="46" spans="1:6" ht="20.25" customHeight="1" x14ac:dyDescent="0.3">
      <c r="A46" s="256">
        <v>7</v>
      </c>
      <c r="B46" s="257" t="s">
        <v>445</v>
      </c>
      <c r="C46" s="260">
        <v>11935</v>
      </c>
      <c r="D46" s="260">
        <v>11785</v>
      </c>
      <c r="E46" s="260">
        <f t="shared" si="4"/>
        <v>-150</v>
      </c>
      <c r="F46" s="259">
        <f t="shared" si="5"/>
        <v>-1.2568077084206116E-2</v>
      </c>
    </row>
    <row r="47" spans="1:6" ht="20.25" customHeight="1" x14ac:dyDescent="0.3">
      <c r="A47" s="256">
        <v>8</v>
      </c>
      <c r="B47" s="257" t="s">
        <v>446</v>
      </c>
      <c r="C47" s="260">
        <v>1253</v>
      </c>
      <c r="D47" s="260">
        <v>1206</v>
      </c>
      <c r="E47" s="260">
        <f t="shared" si="4"/>
        <v>-47</v>
      </c>
      <c r="F47" s="259">
        <f t="shared" si="5"/>
        <v>-3.7509976057462091E-2</v>
      </c>
    </row>
    <row r="48" spans="1:6" ht="20.25" customHeight="1" x14ac:dyDescent="0.3">
      <c r="A48" s="256">
        <v>9</v>
      </c>
      <c r="B48" s="257" t="s">
        <v>447</v>
      </c>
      <c r="C48" s="260">
        <v>382</v>
      </c>
      <c r="D48" s="260">
        <v>349</v>
      </c>
      <c r="E48" s="260">
        <f t="shared" si="4"/>
        <v>-33</v>
      </c>
      <c r="F48" s="259">
        <f t="shared" si="5"/>
        <v>-8.6387434554973816E-2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35378841</v>
      </c>
      <c r="D49" s="263">
        <f>+D40+D42</f>
        <v>35331738</v>
      </c>
      <c r="E49" s="263">
        <f t="shared" si="4"/>
        <v>-47103</v>
      </c>
      <c r="F49" s="264">
        <f t="shared" si="5"/>
        <v>-1.3313890073448139E-3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10609044</v>
      </c>
      <c r="D50" s="263">
        <f>+D41+D43</f>
        <v>10066649</v>
      </c>
      <c r="E50" s="263">
        <f t="shared" si="4"/>
        <v>-542395</v>
      </c>
      <c r="F50" s="264">
        <f t="shared" si="5"/>
        <v>-5.1125718773529449E-2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469833</v>
      </c>
      <c r="D66" s="258">
        <v>892497</v>
      </c>
      <c r="E66" s="258">
        <f t="shared" ref="E66:E76" si="8">D66-C66</f>
        <v>422664</v>
      </c>
      <c r="F66" s="259">
        <f t="shared" ref="F66:F76" si="9">IF(C66=0,0,E66/C66)</f>
        <v>0.89960475317825694</v>
      </c>
    </row>
    <row r="67" spans="1:6" ht="20.25" customHeight="1" x14ac:dyDescent="0.3">
      <c r="A67" s="256">
        <v>2</v>
      </c>
      <c r="B67" s="257" t="s">
        <v>442</v>
      </c>
      <c r="C67" s="258">
        <v>196504</v>
      </c>
      <c r="D67" s="258">
        <v>334848</v>
      </c>
      <c r="E67" s="258">
        <f t="shared" si="8"/>
        <v>138344</v>
      </c>
      <c r="F67" s="259">
        <f t="shared" si="9"/>
        <v>0.7040263811423686</v>
      </c>
    </row>
    <row r="68" spans="1:6" ht="20.25" customHeight="1" x14ac:dyDescent="0.3">
      <c r="A68" s="256">
        <v>3</v>
      </c>
      <c r="B68" s="257" t="s">
        <v>443</v>
      </c>
      <c r="C68" s="258">
        <v>611849</v>
      </c>
      <c r="D68" s="258">
        <v>457937</v>
      </c>
      <c r="E68" s="258">
        <f t="shared" si="8"/>
        <v>-153912</v>
      </c>
      <c r="F68" s="259">
        <f t="shared" si="9"/>
        <v>-0.25155226207773485</v>
      </c>
    </row>
    <row r="69" spans="1:6" ht="20.25" customHeight="1" x14ac:dyDescent="0.3">
      <c r="A69" s="256">
        <v>4</v>
      </c>
      <c r="B69" s="257" t="s">
        <v>444</v>
      </c>
      <c r="C69" s="258">
        <v>153309</v>
      </c>
      <c r="D69" s="258">
        <v>92264</v>
      </c>
      <c r="E69" s="258">
        <f t="shared" si="8"/>
        <v>-61045</v>
      </c>
      <c r="F69" s="259">
        <f t="shared" si="9"/>
        <v>-0.3981827550893946</v>
      </c>
    </row>
    <row r="70" spans="1:6" ht="20.25" customHeight="1" x14ac:dyDescent="0.3">
      <c r="A70" s="256">
        <v>5</v>
      </c>
      <c r="B70" s="257" t="s">
        <v>381</v>
      </c>
      <c r="C70" s="260">
        <v>18</v>
      </c>
      <c r="D70" s="260">
        <v>31</v>
      </c>
      <c r="E70" s="260">
        <f t="shared" si="8"/>
        <v>13</v>
      </c>
      <c r="F70" s="259">
        <f t="shared" si="9"/>
        <v>0.72222222222222221</v>
      </c>
    </row>
    <row r="71" spans="1:6" ht="20.25" customHeight="1" x14ac:dyDescent="0.3">
      <c r="A71" s="256">
        <v>6</v>
      </c>
      <c r="B71" s="257" t="s">
        <v>380</v>
      </c>
      <c r="C71" s="260">
        <v>109</v>
      </c>
      <c r="D71" s="260">
        <v>261</v>
      </c>
      <c r="E71" s="260">
        <f t="shared" si="8"/>
        <v>152</v>
      </c>
      <c r="F71" s="259">
        <f t="shared" si="9"/>
        <v>1.3944954128440368</v>
      </c>
    </row>
    <row r="72" spans="1:6" ht="20.25" customHeight="1" x14ac:dyDescent="0.3">
      <c r="A72" s="256">
        <v>7</v>
      </c>
      <c r="B72" s="257" t="s">
        <v>445</v>
      </c>
      <c r="C72" s="260">
        <v>94</v>
      </c>
      <c r="D72" s="260">
        <v>57</v>
      </c>
      <c r="E72" s="260">
        <f t="shared" si="8"/>
        <v>-37</v>
      </c>
      <c r="F72" s="259">
        <f t="shared" si="9"/>
        <v>-0.39361702127659576</v>
      </c>
    </row>
    <row r="73" spans="1:6" ht="20.25" customHeight="1" x14ac:dyDescent="0.3">
      <c r="A73" s="256">
        <v>8</v>
      </c>
      <c r="B73" s="257" t="s">
        <v>446</v>
      </c>
      <c r="C73" s="260">
        <v>106</v>
      </c>
      <c r="D73" s="260">
        <v>80</v>
      </c>
      <c r="E73" s="260">
        <f t="shared" si="8"/>
        <v>-26</v>
      </c>
      <c r="F73" s="259">
        <f t="shared" si="9"/>
        <v>-0.24528301886792453</v>
      </c>
    </row>
    <row r="74" spans="1:6" ht="20.25" customHeight="1" x14ac:dyDescent="0.3">
      <c r="A74" s="256">
        <v>9</v>
      </c>
      <c r="B74" s="257" t="s">
        <v>447</v>
      </c>
      <c r="C74" s="260">
        <v>12</v>
      </c>
      <c r="D74" s="260">
        <v>23</v>
      </c>
      <c r="E74" s="260">
        <f t="shared" si="8"/>
        <v>11</v>
      </c>
      <c r="F74" s="259">
        <f t="shared" si="9"/>
        <v>0.91666666666666663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1081682</v>
      </c>
      <c r="D75" s="263">
        <f>+D66+D68</f>
        <v>1350434</v>
      </c>
      <c r="E75" s="263">
        <f t="shared" si="8"/>
        <v>268752</v>
      </c>
      <c r="F75" s="264">
        <f t="shared" si="9"/>
        <v>0.24845749490145902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349813</v>
      </c>
      <c r="D76" s="263">
        <f>+D67+D69</f>
        <v>427112</v>
      </c>
      <c r="E76" s="263">
        <f t="shared" si="8"/>
        <v>77299</v>
      </c>
      <c r="F76" s="264">
        <f t="shared" si="9"/>
        <v>0.22097234808311869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4911432</v>
      </c>
      <c r="D92" s="258">
        <v>6314902</v>
      </c>
      <c r="E92" s="258">
        <f t="shared" ref="E92:E102" si="12">D92-C92</f>
        <v>1403470</v>
      </c>
      <c r="F92" s="259">
        <f t="shared" ref="F92:F102" si="13">IF(C92=0,0,E92/C92)</f>
        <v>0.28575576328858876</v>
      </c>
    </row>
    <row r="93" spans="1:6" ht="20.25" customHeight="1" x14ac:dyDescent="0.3">
      <c r="A93" s="256">
        <v>2</v>
      </c>
      <c r="B93" s="257" t="s">
        <v>442</v>
      </c>
      <c r="C93" s="258">
        <v>2013390</v>
      </c>
      <c r="D93" s="258">
        <v>2620426</v>
      </c>
      <c r="E93" s="258">
        <f t="shared" si="12"/>
        <v>607036</v>
      </c>
      <c r="F93" s="259">
        <f t="shared" si="13"/>
        <v>0.30149946110788273</v>
      </c>
    </row>
    <row r="94" spans="1:6" ht="20.25" customHeight="1" x14ac:dyDescent="0.3">
      <c r="A94" s="256">
        <v>3</v>
      </c>
      <c r="B94" s="257" t="s">
        <v>443</v>
      </c>
      <c r="C94" s="258">
        <v>7797945</v>
      </c>
      <c r="D94" s="258">
        <v>11386884</v>
      </c>
      <c r="E94" s="258">
        <f t="shared" si="12"/>
        <v>3588939</v>
      </c>
      <c r="F94" s="259">
        <f t="shared" si="13"/>
        <v>0.46024164058607747</v>
      </c>
    </row>
    <row r="95" spans="1:6" ht="20.25" customHeight="1" x14ac:dyDescent="0.3">
      <c r="A95" s="256">
        <v>4</v>
      </c>
      <c r="B95" s="257" t="s">
        <v>444</v>
      </c>
      <c r="C95" s="258">
        <v>1748602</v>
      </c>
      <c r="D95" s="258">
        <v>2473435</v>
      </c>
      <c r="E95" s="258">
        <f t="shared" si="12"/>
        <v>724833</v>
      </c>
      <c r="F95" s="259">
        <f t="shared" si="13"/>
        <v>0.41452142911880463</v>
      </c>
    </row>
    <row r="96" spans="1:6" ht="20.25" customHeight="1" x14ac:dyDescent="0.3">
      <c r="A96" s="256">
        <v>5</v>
      </c>
      <c r="B96" s="257" t="s">
        <v>381</v>
      </c>
      <c r="C96" s="260">
        <v>182</v>
      </c>
      <c r="D96" s="260">
        <v>229</v>
      </c>
      <c r="E96" s="260">
        <f t="shared" si="12"/>
        <v>47</v>
      </c>
      <c r="F96" s="259">
        <f t="shared" si="13"/>
        <v>0.25824175824175827</v>
      </c>
    </row>
    <row r="97" spans="1:6" ht="20.25" customHeight="1" x14ac:dyDescent="0.3">
      <c r="A97" s="256">
        <v>6</v>
      </c>
      <c r="B97" s="257" t="s">
        <v>380</v>
      </c>
      <c r="C97" s="260">
        <v>906</v>
      </c>
      <c r="D97" s="260">
        <v>1120</v>
      </c>
      <c r="E97" s="260">
        <f t="shared" si="12"/>
        <v>214</v>
      </c>
      <c r="F97" s="259">
        <f t="shared" si="13"/>
        <v>0.23620309050772628</v>
      </c>
    </row>
    <row r="98" spans="1:6" ht="20.25" customHeight="1" x14ac:dyDescent="0.3">
      <c r="A98" s="256">
        <v>7</v>
      </c>
      <c r="B98" s="257" t="s">
        <v>445</v>
      </c>
      <c r="C98" s="260">
        <v>3163</v>
      </c>
      <c r="D98" s="260">
        <v>4645</v>
      </c>
      <c r="E98" s="260">
        <f t="shared" si="12"/>
        <v>1482</v>
      </c>
      <c r="F98" s="259">
        <f t="shared" si="13"/>
        <v>0.46854252292127729</v>
      </c>
    </row>
    <row r="99" spans="1:6" ht="20.25" customHeight="1" x14ac:dyDescent="0.3">
      <c r="A99" s="256">
        <v>8</v>
      </c>
      <c r="B99" s="257" t="s">
        <v>446</v>
      </c>
      <c r="C99" s="260">
        <v>625</v>
      </c>
      <c r="D99" s="260">
        <v>658</v>
      </c>
      <c r="E99" s="260">
        <f t="shared" si="12"/>
        <v>33</v>
      </c>
      <c r="F99" s="259">
        <f t="shared" si="13"/>
        <v>5.28E-2</v>
      </c>
    </row>
    <row r="100" spans="1:6" ht="20.25" customHeight="1" x14ac:dyDescent="0.3">
      <c r="A100" s="256">
        <v>9</v>
      </c>
      <c r="B100" s="257" t="s">
        <v>447</v>
      </c>
      <c r="C100" s="260">
        <v>162</v>
      </c>
      <c r="D100" s="260">
        <v>176</v>
      </c>
      <c r="E100" s="260">
        <f t="shared" si="12"/>
        <v>14</v>
      </c>
      <c r="F100" s="259">
        <f t="shared" si="13"/>
        <v>8.6419753086419748E-2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12709377</v>
      </c>
      <c r="D101" s="263">
        <f>+D92+D94</f>
        <v>17701786</v>
      </c>
      <c r="E101" s="263">
        <f t="shared" si="12"/>
        <v>4992409</v>
      </c>
      <c r="F101" s="264">
        <f t="shared" si="13"/>
        <v>0.39281303875083728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3761992</v>
      </c>
      <c r="D102" s="263">
        <f>+D93+D95</f>
        <v>5093861</v>
      </c>
      <c r="E102" s="263">
        <f t="shared" si="12"/>
        <v>1331869</v>
      </c>
      <c r="F102" s="264">
        <f t="shared" si="13"/>
        <v>0.35403291660375674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51549</v>
      </c>
      <c r="D105" s="258">
        <v>74013</v>
      </c>
      <c r="E105" s="258">
        <f t="shared" ref="E105:E115" si="14">D105-C105</f>
        <v>22464</v>
      </c>
      <c r="F105" s="259">
        <f t="shared" ref="F105:F115" si="15">IF(C105=0,0,E105/C105)</f>
        <v>0.43577954955479253</v>
      </c>
    </row>
    <row r="106" spans="1:6" ht="20.25" customHeight="1" x14ac:dyDescent="0.3">
      <c r="A106" s="256">
        <v>2</v>
      </c>
      <c r="B106" s="257" t="s">
        <v>442</v>
      </c>
      <c r="C106" s="258">
        <v>25178</v>
      </c>
      <c r="D106" s="258">
        <v>26318</v>
      </c>
      <c r="E106" s="258">
        <f t="shared" si="14"/>
        <v>1140</v>
      </c>
      <c r="F106" s="259">
        <f t="shared" si="15"/>
        <v>4.5277623321947735E-2</v>
      </c>
    </row>
    <row r="107" spans="1:6" ht="20.25" customHeight="1" x14ac:dyDescent="0.3">
      <c r="A107" s="256">
        <v>3</v>
      </c>
      <c r="B107" s="257" t="s">
        <v>443</v>
      </c>
      <c r="C107" s="258">
        <v>7021</v>
      </c>
      <c r="D107" s="258">
        <v>14211</v>
      </c>
      <c r="E107" s="258">
        <f t="shared" si="14"/>
        <v>7190</v>
      </c>
      <c r="F107" s="259">
        <f t="shared" si="15"/>
        <v>1.0240706452072355</v>
      </c>
    </row>
    <row r="108" spans="1:6" ht="20.25" customHeight="1" x14ac:dyDescent="0.3">
      <c r="A108" s="256">
        <v>4</v>
      </c>
      <c r="B108" s="257" t="s">
        <v>444</v>
      </c>
      <c r="C108" s="258">
        <v>1380</v>
      </c>
      <c r="D108" s="258">
        <v>2894</v>
      </c>
      <c r="E108" s="258">
        <f t="shared" si="14"/>
        <v>1514</v>
      </c>
      <c r="F108" s="259">
        <f t="shared" si="15"/>
        <v>1.0971014492753624</v>
      </c>
    </row>
    <row r="109" spans="1:6" ht="20.25" customHeight="1" x14ac:dyDescent="0.3">
      <c r="A109" s="256">
        <v>5</v>
      </c>
      <c r="B109" s="257" t="s">
        <v>381</v>
      </c>
      <c r="C109" s="260">
        <v>3</v>
      </c>
      <c r="D109" s="260">
        <v>3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8</v>
      </c>
      <c r="D110" s="260">
        <v>18</v>
      </c>
      <c r="E110" s="260">
        <f t="shared" si="14"/>
        <v>10</v>
      </c>
      <c r="F110" s="259">
        <f t="shared" si="15"/>
        <v>1.25</v>
      </c>
    </row>
    <row r="111" spans="1:6" ht="20.25" customHeight="1" x14ac:dyDescent="0.3">
      <c r="A111" s="256">
        <v>7</v>
      </c>
      <c r="B111" s="257" t="s">
        <v>445</v>
      </c>
      <c r="C111" s="260">
        <v>2</v>
      </c>
      <c r="D111" s="260">
        <v>2</v>
      </c>
      <c r="E111" s="260">
        <f t="shared" si="14"/>
        <v>0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3</v>
      </c>
      <c r="D112" s="260">
        <v>3</v>
      </c>
      <c r="E112" s="260">
        <f t="shared" si="14"/>
        <v>0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3</v>
      </c>
      <c r="D113" s="260">
        <v>3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58570</v>
      </c>
      <c r="D114" s="263">
        <f>+D105+D107</f>
        <v>88224</v>
      </c>
      <c r="E114" s="263">
        <f t="shared" si="14"/>
        <v>29654</v>
      </c>
      <c r="F114" s="264">
        <f t="shared" si="15"/>
        <v>0.50630015366228442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26558</v>
      </c>
      <c r="D115" s="263">
        <f>+D106+D108</f>
        <v>29212</v>
      </c>
      <c r="E115" s="263">
        <f t="shared" si="14"/>
        <v>2654</v>
      </c>
      <c r="F115" s="264">
        <f t="shared" si="15"/>
        <v>9.9932223812034038E-2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830833</v>
      </c>
      <c r="D118" s="258">
        <v>1081698</v>
      </c>
      <c r="E118" s="258">
        <f t="shared" ref="E118:E128" si="16">D118-C118</f>
        <v>250865</v>
      </c>
      <c r="F118" s="259">
        <f t="shared" ref="F118:F128" si="17">IF(C118=0,0,E118/C118)</f>
        <v>0.30194395263548751</v>
      </c>
    </row>
    <row r="119" spans="1:6" ht="20.25" customHeight="1" x14ac:dyDescent="0.3">
      <c r="A119" s="256">
        <v>2</v>
      </c>
      <c r="B119" s="257" t="s">
        <v>442</v>
      </c>
      <c r="C119" s="258">
        <v>324695</v>
      </c>
      <c r="D119" s="258">
        <v>452222</v>
      </c>
      <c r="E119" s="258">
        <f t="shared" si="16"/>
        <v>127527</v>
      </c>
      <c r="F119" s="259">
        <f t="shared" si="17"/>
        <v>0.39275935878285778</v>
      </c>
    </row>
    <row r="120" spans="1:6" ht="20.25" customHeight="1" x14ac:dyDescent="0.3">
      <c r="A120" s="256">
        <v>3</v>
      </c>
      <c r="B120" s="257" t="s">
        <v>443</v>
      </c>
      <c r="C120" s="258">
        <v>1164362</v>
      </c>
      <c r="D120" s="258">
        <v>1647015</v>
      </c>
      <c r="E120" s="258">
        <f t="shared" si="16"/>
        <v>482653</v>
      </c>
      <c r="F120" s="259">
        <f t="shared" si="17"/>
        <v>0.41452142890269522</v>
      </c>
    </row>
    <row r="121" spans="1:6" ht="20.25" customHeight="1" x14ac:dyDescent="0.3">
      <c r="A121" s="256">
        <v>4</v>
      </c>
      <c r="B121" s="257" t="s">
        <v>444</v>
      </c>
      <c r="C121" s="258">
        <v>280390</v>
      </c>
      <c r="D121" s="258">
        <v>361541</v>
      </c>
      <c r="E121" s="258">
        <f t="shared" si="16"/>
        <v>81151</v>
      </c>
      <c r="F121" s="259">
        <f t="shared" si="17"/>
        <v>0.2894218766717786</v>
      </c>
    </row>
    <row r="122" spans="1:6" ht="20.25" customHeight="1" x14ac:dyDescent="0.3">
      <c r="A122" s="256">
        <v>5</v>
      </c>
      <c r="B122" s="257" t="s">
        <v>381</v>
      </c>
      <c r="C122" s="260">
        <v>27</v>
      </c>
      <c r="D122" s="260">
        <v>43</v>
      </c>
      <c r="E122" s="260">
        <f t="shared" si="16"/>
        <v>16</v>
      </c>
      <c r="F122" s="259">
        <f t="shared" si="17"/>
        <v>0.59259259259259256</v>
      </c>
    </row>
    <row r="123" spans="1:6" ht="20.25" customHeight="1" x14ac:dyDescent="0.3">
      <c r="A123" s="256">
        <v>6</v>
      </c>
      <c r="B123" s="257" t="s">
        <v>380</v>
      </c>
      <c r="C123" s="260">
        <v>164</v>
      </c>
      <c r="D123" s="260">
        <v>211</v>
      </c>
      <c r="E123" s="260">
        <f t="shared" si="16"/>
        <v>47</v>
      </c>
      <c r="F123" s="259">
        <f t="shared" si="17"/>
        <v>0.28658536585365851</v>
      </c>
    </row>
    <row r="124" spans="1:6" ht="20.25" customHeight="1" x14ac:dyDescent="0.3">
      <c r="A124" s="256">
        <v>7</v>
      </c>
      <c r="B124" s="257" t="s">
        <v>445</v>
      </c>
      <c r="C124" s="260">
        <v>616</v>
      </c>
      <c r="D124" s="260">
        <v>861</v>
      </c>
      <c r="E124" s="260">
        <f t="shared" si="16"/>
        <v>245</v>
      </c>
      <c r="F124" s="259">
        <f t="shared" si="17"/>
        <v>0.39772727272727271</v>
      </c>
    </row>
    <row r="125" spans="1:6" ht="20.25" customHeight="1" x14ac:dyDescent="0.3">
      <c r="A125" s="256">
        <v>8</v>
      </c>
      <c r="B125" s="257" t="s">
        <v>446</v>
      </c>
      <c r="C125" s="260">
        <v>76</v>
      </c>
      <c r="D125" s="260">
        <v>96</v>
      </c>
      <c r="E125" s="260">
        <f t="shared" si="16"/>
        <v>20</v>
      </c>
      <c r="F125" s="259">
        <f t="shared" si="17"/>
        <v>0.26315789473684209</v>
      </c>
    </row>
    <row r="126" spans="1:6" ht="20.25" customHeight="1" x14ac:dyDescent="0.3">
      <c r="A126" s="256">
        <v>9</v>
      </c>
      <c r="B126" s="257" t="s">
        <v>447</v>
      </c>
      <c r="C126" s="260">
        <v>24</v>
      </c>
      <c r="D126" s="260">
        <v>41</v>
      </c>
      <c r="E126" s="260">
        <f t="shared" si="16"/>
        <v>17</v>
      </c>
      <c r="F126" s="259">
        <f t="shared" si="17"/>
        <v>0.70833333333333337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1995195</v>
      </c>
      <c r="D127" s="263">
        <f>+D118+D120</f>
        <v>2728713</v>
      </c>
      <c r="E127" s="263">
        <f t="shared" si="16"/>
        <v>733518</v>
      </c>
      <c r="F127" s="264">
        <f t="shared" si="17"/>
        <v>0.36764226053092552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605085</v>
      </c>
      <c r="D128" s="263">
        <f>+D119+D121</f>
        <v>813763</v>
      </c>
      <c r="E128" s="263">
        <f t="shared" si="16"/>
        <v>208678</v>
      </c>
      <c r="F128" s="264">
        <f t="shared" si="17"/>
        <v>0.3448738606972574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5520</v>
      </c>
      <c r="E183" s="258">
        <f t="shared" ref="E183:E193" si="26">D183-C183</f>
        <v>5520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4547</v>
      </c>
      <c r="E184" s="258">
        <f t="shared" si="26"/>
        <v>4547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2583</v>
      </c>
      <c r="D185" s="258">
        <v>0</v>
      </c>
      <c r="E185" s="258">
        <f t="shared" si="26"/>
        <v>-2583</v>
      </c>
      <c r="F185" s="259">
        <f t="shared" si="27"/>
        <v>-1</v>
      </c>
    </row>
    <row r="186" spans="1:6" ht="20.25" customHeight="1" x14ac:dyDescent="0.3">
      <c r="A186" s="256">
        <v>4</v>
      </c>
      <c r="B186" s="257" t="s">
        <v>444</v>
      </c>
      <c r="C186" s="258">
        <v>641</v>
      </c>
      <c r="D186" s="258">
        <v>0</v>
      </c>
      <c r="E186" s="258">
        <f t="shared" si="26"/>
        <v>-641</v>
      </c>
      <c r="F186" s="259">
        <f t="shared" si="27"/>
        <v>-1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1</v>
      </c>
      <c r="E187" s="260">
        <f t="shared" si="26"/>
        <v>1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1</v>
      </c>
      <c r="E188" s="260">
        <f t="shared" si="26"/>
        <v>1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1</v>
      </c>
      <c r="D190" s="260">
        <v>0</v>
      </c>
      <c r="E190" s="260">
        <f t="shared" si="26"/>
        <v>-1</v>
      </c>
      <c r="F190" s="259">
        <f t="shared" si="27"/>
        <v>-1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2583</v>
      </c>
      <c r="D192" s="263">
        <f>+D183+D185</f>
        <v>5520</v>
      </c>
      <c r="E192" s="263">
        <f t="shared" si="26"/>
        <v>2937</v>
      </c>
      <c r="F192" s="264">
        <f t="shared" si="27"/>
        <v>1.1370499419279907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641</v>
      </c>
      <c r="D193" s="263">
        <f>+D184+D186</f>
        <v>4547</v>
      </c>
      <c r="E193" s="263">
        <f t="shared" si="26"/>
        <v>3906</v>
      </c>
      <c r="F193" s="264">
        <f t="shared" si="27"/>
        <v>6.0936037441497657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18911093</v>
      </c>
      <c r="D198" s="263">
        <f t="shared" si="28"/>
        <v>20615749</v>
      </c>
      <c r="E198" s="263">
        <f t="shared" ref="E198:E208" si="29">D198-C198</f>
        <v>1704656</v>
      </c>
      <c r="F198" s="273">
        <f t="shared" ref="F198:F208" si="30">IF(C198=0,0,E198/C198)</f>
        <v>9.0140532860792336E-2</v>
      </c>
    </row>
    <row r="199" spans="1:9" ht="20.25" customHeight="1" x14ac:dyDescent="0.3">
      <c r="A199" s="271"/>
      <c r="B199" s="272" t="s">
        <v>466</v>
      </c>
      <c r="C199" s="263">
        <f t="shared" si="28"/>
        <v>8044530</v>
      </c>
      <c r="D199" s="263">
        <f t="shared" si="28"/>
        <v>8660245</v>
      </c>
      <c r="E199" s="263">
        <f t="shared" si="29"/>
        <v>615715</v>
      </c>
      <c r="F199" s="273">
        <f t="shared" si="30"/>
        <v>7.653834344579484E-2</v>
      </c>
    </row>
    <row r="200" spans="1:9" ht="20.25" customHeight="1" x14ac:dyDescent="0.3">
      <c r="A200" s="271"/>
      <c r="B200" s="272" t="s">
        <v>467</v>
      </c>
      <c r="C200" s="263">
        <f t="shared" si="28"/>
        <v>32676546</v>
      </c>
      <c r="D200" s="263">
        <f t="shared" si="28"/>
        <v>38502774</v>
      </c>
      <c r="E200" s="263">
        <f t="shared" si="29"/>
        <v>5826228</v>
      </c>
      <c r="F200" s="273">
        <f t="shared" si="30"/>
        <v>0.17829999535446617</v>
      </c>
    </row>
    <row r="201" spans="1:9" ht="20.25" customHeight="1" x14ac:dyDescent="0.3">
      <c r="A201" s="271"/>
      <c r="B201" s="272" t="s">
        <v>468</v>
      </c>
      <c r="C201" s="263">
        <f t="shared" si="28"/>
        <v>7459870</v>
      </c>
      <c r="D201" s="263">
        <f t="shared" si="28"/>
        <v>8276962</v>
      </c>
      <c r="E201" s="263">
        <f t="shared" si="29"/>
        <v>817092</v>
      </c>
      <c r="F201" s="273">
        <f t="shared" si="30"/>
        <v>0.10953166744192593</v>
      </c>
    </row>
    <row r="202" spans="1:9" ht="20.25" customHeight="1" x14ac:dyDescent="0.3">
      <c r="A202" s="271"/>
      <c r="B202" s="272" t="s">
        <v>138</v>
      </c>
      <c r="C202" s="274">
        <f t="shared" si="28"/>
        <v>695</v>
      </c>
      <c r="D202" s="274">
        <f t="shared" si="28"/>
        <v>763</v>
      </c>
      <c r="E202" s="274">
        <f t="shared" si="29"/>
        <v>68</v>
      </c>
      <c r="F202" s="273">
        <f t="shared" si="30"/>
        <v>9.7841726618705036E-2</v>
      </c>
    </row>
    <row r="203" spans="1:9" ht="20.25" customHeight="1" x14ac:dyDescent="0.3">
      <c r="A203" s="271"/>
      <c r="B203" s="272" t="s">
        <v>140</v>
      </c>
      <c r="C203" s="274">
        <f t="shared" si="28"/>
        <v>3511</v>
      </c>
      <c r="D203" s="274">
        <f t="shared" si="28"/>
        <v>3822</v>
      </c>
      <c r="E203" s="274">
        <f t="shared" si="29"/>
        <v>311</v>
      </c>
      <c r="F203" s="273">
        <f t="shared" si="30"/>
        <v>8.857875249216747E-2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15858</v>
      </c>
      <c r="D204" s="274">
        <f t="shared" si="28"/>
        <v>17781</v>
      </c>
      <c r="E204" s="274">
        <f t="shared" si="29"/>
        <v>1923</v>
      </c>
      <c r="F204" s="273">
        <f t="shared" si="30"/>
        <v>0.1212637154748392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2107</v>
      </c>
      <c r="D205" s="274">
        <f t="shared" si="28"/>
        <v>2160</v>
      </c>
      <c r="E205" s="274">
        <f t="shared" si="29"/>
        <v>53</v>
      </c>
      <c r="F205" s="273">
        <f t="shared" si="30"/>
        <v>2.5154247745609874E-2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586</v>
      </c>
      <c r="D206" s="274">
        <f t="shared" si="28"/>
        <v>608</v>
      </c>
      <c r="E206" s="274">
        <f t="shared" si="29"/>
        <v>22</v>
      </c>
      <c r="F206" s="273">
        <f t="shared" si="30"/>
        <v>3.7542662116040959E-2</v>
      </c>
    </row>
    <row r="207" spans="1:9" ht="20.25" customHeight="1" x14ac:dyDescent="0.3">
      <c r="A207" s="271"/>
      <c r="B207" s="262" t="s">
        <v>471</v>
      </c>
      <c r="C207" s="263">
        <f>+C198+C200</f>
        <v>51587639</v>
      </c>
      <c r="D207" s="263">
        <f>+D198+D200</f>
        <v>59118523</v>
      </c>
      <c r="E207" s="263">
        <f t="shared" si="29"/>
        <v>7530884</v>
      </c>
      <c r="F207" s="273">
        <f t="shared" si="30"/>
        <v>0.14598233503184746</v>
      </c>
    </row>
    <row r="208" spans="1:9" ht="20.25" customHeight="1" x14ac:dyDescent="0.3">
      <c r="A208" s="271"/>
      <c r="B208" s="262" t="s">
        <v>472</v>
      </c>
      <c r="C208" s="263">
        <f>+C199+C201</f>
        <v>15504400</v>
      </c>
      <c r="D208" s="263">
        <f>+D199+D201</f>
        <v>16937207</v>
      </c>
      <c r="E208" s="263">
        <f t="shared" si="29"/>
        <v>1432807</v>
      </c>
      <c r="F208" s="273">
        <f t="shared" si="30"/>
        <v>9.241292794303553E-2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FILING&amp;RWILLIAM W. BACKUS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15"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FILING&amp;RWILLIAM W. BACKUS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opLeftCell="A33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193329590</v>
      </c>
      <c r="D13" s="22">
        <v>49673821</v>
      </c>
      <c r="E13" s="22">
        <f t="shared" ref="E13:E22" si="0">D13-C13</f>
        <v>-143655769</v>
      </c>
      <c r="F13" s="306">
        <f t="shared" ref="F13:F22" si="1">IF(C13=0,0,E13/C13)</f>
        <v>-0.74306146824187647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37156767</v>
      </c>
      <c r="D15" s="22">
        <v>38794756</v>
      </c>
      <c r="E15" s="22">
        <f t="shared" si="0"/>
        <v>1637989</v>
      </c>
      <c r="F15" s="306">
        <f t="shared" si="1"/>
        <v>4.4083194859229811E-2</v>
      </c>
    </row>
    <row r="16" spans="1:8" ht="35.1" customHeight="1" x14ac:dyDescent="0.2">
      <c r="A16" s="304">
        <v>4</v>
      </c>
      <c r="B16" s="305" t="s">
        <v>19</v>
      </c>
      <c r="C16" s="22">
        <v>5448010</v>
      </c>
      <c r="D16" s="22">
        <v>4642995</v>
      </c>
      <c r="E16" s="22">
        <f t="shared" si="0"/>
        <v>-805015</v>
      </c>
      <c r="F16" s="306">
        <f t="shared" si="1"/>
        <v>-0.1477631281880907</v>
      </c>
    </row>
    <row r="17" spans="1:11" ht="24" customHeight="1" x14ac:dyDescent="0.2">
      <c r="A17" s="304">
        <v>5</v>
      </c>
      <c r="B17" s="305" t="s">
        <v>20</v>
      </c>
      <c r="C17" s="22">
        <v>2405892</v>
      </c>
      <c r="D17" s="22">
        <v>265143</v>
      </c>
      <c r="E17" s="22">
        <f t="shared" si="0"/>
        <v>-2140749</v>
      </c>
      <c r="F17" s="306">
        <f t="shared" si="1"/>
        <v>-0.88979430498127099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3621065</v>
      </c>
      <c r="D19" s="22">
        <v>3761059</v>
      </c>
      <c r="E19" s="22">
        <f t="shared" si="0"/>
        <v>139994</v>
      </c>
      <c r="F19" s="306">
        <f t="shared" si="1"/>
        <v>3.8661001666636746E-2</v>
      </c>
    </row>
    <row r="20" spans="1:11" ht="24" customHeight="1" x14ac:dyDescent="0.2">
      <c r="A20" s="304">
        <v>8</v>
      </c>
      <c r="B20" s="305" t="s">
        <v>23</v>
      </c>
      <c r="C20" s="22">
        <v>3040704</v>
      </c>
      <c r="D20" s="22">
        <v>3293327</v>
      </c>
      <c r="E20" s="22">
        <f t="shared" si="0"/>
        <v>252623</v>
      </c>
      <c r="F20" s="306">
        <f t="shared" si="1"/>
        <v>8.3080431373787123E-2</v>
      </c>
    </row>
    <row r="21" spans="1:11" ht="24" customHeight="1" x14ac:dyDescent="0.2">
      <c r="A21" s="304">
        <v>9</v>
      </c>
      <c r="B21" s="305" t="s">
        <v>24</v>
      </c>
      <c r="C21" s="22">
        <v>972364</v>
      </c>
      <c r="D21" s="22">
        <v>60521</v>
      </c>
      <c r="E21" s="22">
        <f t="shared" si="0"/>
        <v>-911843</v>
      </c>
      <c r="F21" s="306">
        <f t="shared" si="1"/>
        <v>-0.93775890510138182</v>
      </c>
    </row>
    <row r="22" spans="1:11" ht="24" customHeight="1" x14ac:dyDescent="0.25">
      <c r="A22" s="307"/>
      <c r="B22" s="308" t="s">
        <v>25</v>
      </c>
      <c r="C22" s="309">
        <f>SUM(C13:C21)</f>
        <v>245974392</v>
      </c>
      <c r="D22" s="309">
        <f>SUM(D13:D21)</f>
        <v>100491622</v>
      </c>
      <c r="E22" s="309">
        <f t="shared" si="0"/>
        <v>-145482770</v>
      </c>
      <c r="F22" s="310">
        <f t="shared" si="1"/>
        <v>-0.5914549430007332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21400841</v>
      </c>
      <c r="D25" s="22">
        <v>4523690</v>
      </c>
      <c r="E25" s="22">
        <f>D25-C25</f>
        <v>-16877151</v>
      </c>
      <c r="F25" s="306">
        <f>IF(C25=0,0,E25/C25)</f>
        <v>-0.78862092382257309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134705505</v>
      </c>
      <c r="D26" s="22">
        <v>359376703</v>
      </c>
      <c r="E26" s="22">
        <f>D26-C26</f>
        <v>224671198</v>
      </c>
      <c r="F26" s="306">
        <f>IF(C26=0,0,E26/C26)</f>
        <v>1.6678694608657605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156106346</v>
      </c>
      <c r="D29" s="309">
        <f>SUM(D25:D28)</f>
        <v>363900393</v>
      </c>
      <c r="E29" s="309">
        <f>D29-C29</f>
        <v>207794047</v>
      </c>
      <c r="F29" s="310">
        <f>IF(C29=0,0,E29/C29)</f>
        <v>1.3311057002128537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0</v>
      </c>
      <c r="D32" s="22">
        <v>0</v>
      </c>
      <c r="E32" s="22">
        <f>D32-C32</f>
        <v>0</v>
      </c>
      <c r="F32" s="306">
        <f>IF(C32=0,0,E32/C32)</f>
        <v>0</v>
      </c>
    </row>
    <row r="33" spans="1:8" ht="24" customHeight="1" x14ac:dyDescent="0.2">
      <c r="A33" s="304">
        <v>7</v>
      </c>
      <c r="B33" s="305" t="s">
        <v>35</v>
      </c>
      <c r="C33" s="22">
        <v>14502352</v>
      </c>
      <c r="D33" s="22">
        <v>13408031</v>
      </c>
      <c r="E33" s="22">
        <f>D33-C33</f>
        <v>-1094321</v>
      </c>
      <c r="F33" s="306">
        <f>IF(C33=0,0,E33/C33)</f>
        <v>-7.5458173956886448E-2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308270147</v>
      </c>
      <c r="D36" s="22">
        <v>311420848</v>
      </c>
      <c r="E36" s="22">
        <f>D36-C36</f>
        <v>3150701</v>
      </c>
      <c r="F36" s="306">
        <f>IF(C36=0,0,E36/C36)</f>
        <v>1.0220584220242383E-2</v>
      </c>
    </row>
    <row r="37" spans="1:8" ht="24" customHeight="1" x14ac:dyDescent="0.2">
      <c r="A37" s="304">
        <v>2</v>
      </c>
      <c r="B37" s="305" t="s">
        <v>39</v>
      </c>
      <c r="C37" s="22">
        <v>188985410</v>
      </c>
      <c r="D37" s="22">
        <v>200871251</v>
      </c>
      <c r="E37" s="22">
        <f>D37-C37</f>
        <v>11885841</v>
      </c>
      <c r="F37" s="22">
        <f>IF(C37=0,0,E37/C37)</f>
        <v>6.2892902684921551E-2</v>
      </c>
    </row>
    <row r="38" spans="1:8" ht="24" customHeight="1" x14ac:dyDescent="0.25">
      <c r="A38" s="307"/>
      <c r="B38" s="308" t="s">
        <v>40</v>
      </c>
      <c r="C38" s="309">
        <f>C36-C37</f>
        <v>119284737</v>
      </c>
      <c r="D38" s="309">
        <f>D36-D37</f>
        <v>110549597</v>
      </c>
      <c r="E38" s="309">
        <f>D38-C38</f>
        <v>-8735140</v>
      </c>
      <c r="F38" s="310">
        <f>IF(C38=0,0,E38/C38)</f>
        <v>-7.3229318517087402E-2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1246289</v>
      </c>
      <c r="D40" s="22">
        <v>4494626</v>
      </c>
      <c r="E40" s="22">
        <f>D40-C40</f>
        <v>3248337</v>
      </c>
      <c r="F40" s="306">
        <f>IF(C40=0,0,E40/C40)</f>
        <v>2.6064075025937004</v>
      </c>
    </row>
    <row r="41" spans="1:8" ht="24" customHeight="1" x14ac:dyDescent="0.25">
      <c r="A41" s="307"/>
      <c r="B41" s="308" t="s">
        <v>42</v>
      </c>
      <c r="C41" s="309">
        <f>+C38+C40</f>
        <v>120531026</v>
      </c>
      <c r="D41" s="309">
        <f>+D38+D40</f>
        <v>115044223</v>
      </c>
      <c r="E41" s="309">
        <f>D41-C41</f>
        <v>-5486803</v>
      </c>
      <c r="F41" s="310">
        <f>IF(C41=0,0,E41/C41)</f>
        <v>-4.5521914000798434E-2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537114116</v>
      </c>
      <c r="D43" s="309">
        <f>D22+D29+D31+D32+D33+D41</f>
        <v>592844269</v>
      </c>
      <c r="E43" s="309">
        <f>D43-C43</f>
        <v>55730153</v>
      </c>
      <c r="F43" s="310">
        <f>IF(C43=0,0,E43/C43)</f>
        <v>0.10375849626711356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6919642</v>
      </c>
      <c r="D49" s="22">
        <v>5654300</v>
      </c>
      <c r="E49" s="22">
        <f t="shared" ref="E49:E56" si="2">D49-C49</f>
        <v>-1265342</v>
      </c>
      <c r="F49" s="306">
        <f t="shared" ref="F49:F56" si="3">IF(C49=0,0,E49/C49)</f>
        <v>-0.18286235039327178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6801054</v>
      </c>
      <c r="D50" s="22">
        <v>4666866</v>
      </c>
      <c r="E50" s="22">
        <f t="shared" si="2"/>
        <v>-2134188</v>
      </c>
      <c r="F50" s="306">
        <f t="shared" si="3"/>
        <v>-0.31380253707734124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9749411</v>
      </c>
      <c r="D51" s="22">
        <v>6879937</v>
      </c>
      <c r="E51" s="22">
        <f t="shared" si="2"/>
        <v>-2869474</v>
      </c>
      <c r="F51" s="306">
        <f t="shared" si="3"/>
        <v>-0.29432280575718883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1711676</v>
      </c>
      <c r="D52" s="22">
        <v>5752993</v>
      </c>
      <c r="E52" s="22">
        <f t="shared" si="2"/>
        <v>4041317</v>
      </c>
      <c r="F52" s="306">
        <f t="shared" si="3"/>
        <v>2.3610291901037348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399931</v>
      </c>
      <c r="D54" s="22">
        <v>432914</v>
      </c>
      <c r="E54" s="22">
        <f t="shared" si="2"/>
        <v>32983</v>
      </c>
      <c r="F54" s="306">
        <f t="shared" si="3"/>
        <v>8.2471726372799314E-2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11943373</v>
      </c>
      <c r="D55" s="22">
        <v>9576183</v>
      </c>
      <c r="E55" s="22">
        <f t="shared" si="2"/>
        <v>-2367190</v>
      </c>
      <c r="F55" s="306">
        <f t="shared" si="3"/>
        <v>-0.19820112793931832</v>
      </c>
    </row>
    <row r="56" spans="1:6" ht="24" customHeight="1" x14ac:dyDescent="0.25">
      <c r="A56" s="307"/>
      <c r="B56" s="308" t="s">
        <v>54</v>
      </c>
      <c r="C56" s="309">
        <f>SUM(C49:C55)</f>
        <v>37525087</v>
      </c>
      <c r="D56" s="309">
        <f>SUM(D49:D55)</f>
        <v>32963193</v>
      </c>
      <c r="E56" s="309">
        <f t="shared" si="2"/>
        <v>-4561894</v>
      </c>
      <c r="F56" s="310">
        <f t="shared" si="3"/>
        <v>-0.12156917850716775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58700068</v>
      </c>
      <c r="D59" s="22">
        <v>58700068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9672504</v>
      </c>
      <c r="D60" s="22">
        <v>9166147</v>
      </c>
      <c r="E60" s="22">
        <f>D60-C60</f>
        <v>-506357</v>
      </c>
      <c r="F60" s="306">
        <f>IF(C60=0,0,E60/C60)</f>
        <v>-5.235014635300228E-2</v>
      </c>
    </row>
    <row r="61" spans="1:6" ht="24" customHeight="1" x14ac:dyDescent="0.25">
      <c r="A61" s="307"/>
      <c r="B61" s="308" t="s">
        <v>58</v>
      </c>
      <c r="C61" s="309">
        <f>SUM(C59:C60)</f>
        <v>68372572</v>
      </c>
      <c r="D61" s="309">
        <f>SUM(D59:D60)</f>
        <v>67866215</v>
      </c>
      <c r="E61" s="309">
        <f>D61-C61</f>
        <v>-506357</v>
      </c>
      <c r="F61" s="310">
        <f>IF(C61=0,0,E61/C61)</f>
        <v>-7.4058498194275917E-3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49998130</v>
      </c>
      <c r="D63" s="22">
        <v>60979775</v>
      </c>
      <c r="E63" s="22">
        <f>D63-C63</f>
        <v>10981645</v>
      </c>
      <c r="F63" s="306">
        <f>IF(C63=0,0,E63/C63)</f>
        <v>0.2196411145776852</v>
      </c>
    </row>
    <row r="64" spans="1:6" ht="24" customHeight="1" x14ac:dyDescent="0.2">
      <c r="A64" s="304">
        <v>4</v>
      </c>
      <c r="B64" s="305" t="s">
        <v>60</v>
      </c>
      <c r="C64" s="22">
        <v>12018161</v>
      </c>
      <c r="D64" s="22">
        <v>11657763</v>
      </c>
      <c r="E64" s="22">
        <f>D64-C64</f>
        <v>-360398</v>
      </c>
      <c r="F64" s="306">
        <f>IF(C64=0,0,E64/C64)</f>
        <v>-2.9987782656597795E-2</v>
      </c>
    </row>
    <row r="65" spans="1:6" ht="24" customHeight="1" x14ac:dyDescent="0.25">
      <c r="A65" s="307"/>
      <c r="B65" s="308" t="s">
        <v>61</v>
      </c>
      <c r="C65" s="309">
        <f>SUM(C61:C64)</f>
        <v>130388863</v>
      </c>
      <c r="D65" s="309">
        <f>SUM(D61:D64)</f>
        <v>140503753</v>
      </c>
      <c r="E65" s="309">
        <f>D65-C65</f>
        <v>10114890</v>
      </c>
      <c r="F65" s="310">
        <f>IF(C65=0,0,E65/C65)</f>
        <v>7.7574800234280747E-2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357187808</v>
      </c>
      <c r="D70" s="22">
        <v>406642940</v>
      </c>
      <c r="E70" s="22">
        <f>D70-C70</f>
        <v>49455132</v>
      </c>
      <c r="F70" s="306">
        <f>IF(C70=0,0,E70/C70)</f>
        <v>0.13845694307684769</v>
      </c>
    </row>
    <row r="71" spans="1:6" ht="24" customHeight="1" x14ac:dyDescent="0.2">
      <c r="A71" s="304">
        <v>2</v>
      </c>
      <c r="B71" s="305" t="s">
        <v>65</v>
      </c>
      <c r="C71" s="22">
        <v>3907265</v>
      </c>
      <c r="D71" s="22">
        <v>4543173</v>
      </c>
      <c r="E71" s="22">
        <f>D71-C71</f>
        <v>635908</v>
      </c>
      <c r="F71" s="306">
        <f>IF(C71=0,0,E71/C71)</f>
        <v>0.16275015899868578</v>
      </c>
    </row>
    <row r="72" spans="1:6" ht="24" customHeight="1" x14ac:dyDescent="0.2">
      <c r="A72" s="304">
        <v>3</v>
      </c>
      <c r="B72" s="305" t="s">
        <v>66</v>
      </c>
      <c r="C72" s="22">
        <v>8105093</v>
      </c>
      <c r="D72" s="22">
        <v>8191210</v>
      </c>
      <c r="E72" s="22">
        <f>D72-C72</f>
        <v>86117</v>
      </c>
      <c r="F72" s="306">
        <f>IF(C72=0,0,E72/C72)</f>
        <v>1.0625047732333238E-2</v>
      </c>
    </row>
    <row r="73" spans="1:6" ht="24" customHeight="1" x14ac:dyDescent="0.25">
      <c r="A73" s="304"/>
      <c r="B73" s="308" t="s">
        <v>67</v>
      </c>
      <c r="C73" s="309">
        <f>SUM(C70:C72)</f>
        <v>369200166</v>
      </c>
      <c r="D73" s="309">
        <f>SUM(D70:D72)</f>
        <v>419377323</v>
      </c>
      <c r="E73" s="309">
        <f>D73-C73</f>
        <v>50177157</v>
      </c>
      <c r="F73" s="310">
        <f>IF(C73=0,0,E73/C73)</f>
        <v>0.13590773141743387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537114116</v>
      </c>
      <c r="D75" s="309">
        <f>D56+D65+D67+D73</f>
        <v>592844269</v>
      </c>
      <c r="E75" s="309">
        <f>D75-C75</f>
        <v>55730153</v>
      </c>
      <c r="F75" s="310">
        <f>IF(C75=0,0,E75/C75)</f>
        <v>0.10375849626711356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FILING&amp;RBACKUS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0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767630825</v>
      </c>
      <c r="D11" s="76">
        <v>814390106</v>
      </c>
      <c r="E11" s="76">
        <f t="shared" ref="E11:E20" si="0">D11-C11</f>
        <v>46759281</v>
      </c>
      <c r="F11" s="77">
        <f t="shared" ref="F11:F20" si="1">IF(C11=0,0,E11/C11)</f>
        <v>6.0913761507688284E-2</v>
      </c>
    </row>
    <row r="12" spans="1:7" ht="23.1" customHeight="1" x14ac:dyDescent="0.2">
      <c r="A12" s="74">
        <v>2</v>
      </c>
      <c r="B12" s="75" t="s">
        <v>72</v>
      </c>
      <c r="C12" s="76">
        <v>457505869</v>
      </c>
      <c r="D12" s="76">
        <v>488987235</v>
      </c>
      <c r="E12" s="76">
        <f t="shared" si="0"/>
        <v>31481366</v>
      </c>
      <c r="F12" s="77">
        <f t="shared" si="1"/>
        <v>6.8810846227636044E-2</v>
      </c>
    </row>
    <row r="13" spans="1:7" ht="23.1" customHeight="1" x14ac:dyDescent="0.2">
      <c r="A13" s="74">
        <v>3</v>
      </c>
      <c r="B13" s="75" t="s">
        <v>73</v>
      </c>
      <c r="C13" s="76">
        <v>4309525</v>
      </c>
      <c r="D13" s="76">
        <v>4770269</v>
      </c>
      <c r="E13" s="76">
        <f t="shared" si="0"/>
        <v>460744</v>
      </c>
      <c r="F13" s="77">
        <f t="shared" si="1"/>
        <v>0.1069129428417285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305815431</v>
      </c>
      <c r="D15" s="79">
        <f>D11-D12-D13-D14</f>
        <v>320632602</v>
      </c>
      <c r="E15" s="79">
        <f t="shared" si="0"/>
        <v>14817171</v>
      </c>
      <c r="F15" s="80">
        <f t="shared" si="1"/>
        <v>4.8451351691275513E-2</v>
      </c>
    </row>
    <row r="16" spans="1:7" ht="23.1" customHeight="1" x14ac:dyDescent="0.2">
      <c r="A16" s="74">
        <v>5</v>
      </c>
      <c r="B16" s="75" t="s">
        <v>76</v>
      </c>
      <c r="C16" s="76">
        <v>9296806</v>
      </c>
      <c r="D16" s="76">
        <v>8313525</v>
      </c>
      <c r="E16" s="76">
        <f t="shared" si="0"/>
        <v>-983281</v>
      </c>
      <c r="F16" s="77">
        <f t="shared" si="1"/>
        <v>-0.10576546396687206</v>
      </c>
      <c r="G16" s="65"/>
    </row>
    <row r="17" spans="1:7" ht="31.5" customHeight="1" x14ac:dyDescent="0.25">
      <c r="A17" s="71"/>
      <c r="B17" s="81" t="s">
        <v>77</v>
      </c>
      <c r="C17" s="79">
        <f>C15-C16</f>
        <v>296518625</v>
      </c>
      <c r="D17" s="79">
        <f>D15-D16</f>
        <v>312319077</v>
      </c>
      <c r="E17" s="79">
        <f t="shared" si="0"/>
        <v>15800452</v>
      </c>
      <c r="F17" s="80">
        <f t="shared" si="1"/>
        <v>5.3286541444066117E-2</v>
      </c>
    </row>
    <row r="18" spans="1:7" ht="23.1" customHeight="1" x14ac:dyDescent="0.2">
      <c r="A18" s="74">
        <v>6</v>
      </c>
      <c r="B18" s="75" t="s">
        <v>78</v>
      </c>
      <c r="C18" s="76">
        <v>8308513</v>
      </c>
      <c r="D18" s="76">
        <v>6059878</v>
      </c>
      <c r="E18" s="76">
        <f t="shared" si="0"/>
        <v>-2248635</v>
      </c>
      <c r="F18" s="77">
        <f t="shared" si="1"/>
        <v>-0.27064229182767119</v>
      </c>
      <c r="G18" s="65"/>
    </row>
    <row r="19" spans="1:7" ht="33" customHeight="1" x14ac:dyDescent="0.2">
      <c r="A19" s="74">
        <v>7</v>
      </c>
      <c r="B19" s="82" t="s">
        <v>79</v>
      </c>
      <c r="C19" s="76">
        <v>217950</v>
      </c>
      <c r="D19" s="76">
        <v>507782</v>
      </c>
      <c r="E19" s="76">
        <f t="shared" si="0"/>
        <v>289832</v>
      </c>
      <c r="F19" s="77">
        <f t="shared" si="1"/>
        <v>1.3298095893553568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305045088</v>
      </c>
      <c r="D20" s="79">
        <f>SUM(D17:D19)</f>
        <v>318886737</v>
      </c>
      <c r="E20" s="79">
        <f t="shared" si="0"/>
        <v>13841649</v>
      </c>
      <c r="F20" s="80">
        <f t="shared" si="1"/>
        <v>4.5375747863214237E-2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119561370</v>
      </c>
      <c r="D23" s="76">
        <v>117051711</v>
      </c>
      <c r="E23" s="76">
        <f t="shared" ref="E23:E32" si="2">D23-C23</f>
        <v>-2509659</v>
      </c>
      <c r="F23" s="77">
        <f t="shared" ref="F23:F32" si="3">IF(C23=0,0,E23/C23)</f>
        <v>-2.0990550710484498E-2</v>
      </c>
    </row>
    <row r="24" spans="1:7" ht="23.1" customHeight="1" x14ac:dyDescent="0.2">
      <c r="A24" s="74">
        <v>2</v>
      </c>
      <c r="B24" s="75" t="s">
        <v>83</v>
      </c>
      <c r="C24" s="76">
        <v>24131400</v>
      </c>
      <c r="D24" s="76">
        <v>32228460</v>
      </c>
      <c r="E24" s="76">
        <f t="shared" si="2"/>
        <v>8097060</v>
      </c>
      <c r="F24" s="77">
        <f t="shared" si="3"/>
        <v>0.33554041622118896</v>
      </c>
    </row>
    <row r="25" spans="1:7" ht="23.1" customHeight="1" x14ac:dyDescent="0.2">
      <c r="A25" s="74">
        <v>3</v>
      </c>
      <c r="B25" s="75" t="s">
        <v>84</v>
      </c>
      <c r="C25" s="76">
        <v>3109419</v>
      </c>
      <c r="D25" s="76">
        <v>3220279</v>
      </c>
      <c r="E25" s="76">
        <f t="shared" si="2"/>
        <v>110860</v>
      </c>
      <c r="F25" s="77">
        <f t="shared" si="3"/>
        <v>3.5652962820385416E-2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40594804</v>
      </c>
      <c r="D26" s="76">
        <v>43569997</v>
      </c>
      <c r="E26" s="76">
        <f t="shared" si="2"/>
        <v>2975193</v>
      </c>
      <c r="F26" s="77">
        <f t="shared" si="3"/>
        <v>7.3289995438825126E-2</v>
      </c>
    </row>
    <row r="27" spans="1:7" ht="23.1" customHeight="1" x14ac:dyDescent="0.2">
      <c r="A27" s="74">
        <v>5</v>
      </c>
      <c r="B27" s="75" t="s">
        <v>86</v>
      </c>
      <c r="C27" s="76">
        <v>15267349</v>
      </c>
      <c r="D27" s="76">
        <v>14130746</v>
      </c>
      <c r="E27" s="76">
        <f t="shared" si="2"/>
        <v>-1136603</v>
      </c>
      <c r="F27" s="77">
        <f t="shared" si="3"/>
        <v>-7.4446650823269969E-2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3380083</v>
      </c>
      <c r="D29" s="76">
        <v>3369912</v>
      </c>
      <c r="E29" s="76">
        <f t="shared" si="2"/>
        <v>-10171</v>
      </c>
      <c r="F29" s="77">
        <f t="shared" si="3"/>
        <v>-3.0090977055888864E-3</v>
      </c>
    </row>
    <row r="30" spans="1:7" ht="23.1" customHeight="1" x14ac:dyDescent="0.2">
      <c r="A30" s="74">
        <v>8</v>
      </c>
      <c r="B30" s="75" t="s">
        <v>89</v>
      </c>
      <c r="C30" s="76">
        <v>3674108</v>
      </c>
      <c r="D30" s="76">
        <v>2306595</v>
      </c>
      <c r="E30" s="76">
        <f t="shared" si="2"/>
        <v>-1367513</v>
      </c>
      <c r="F30" s="77">
        <f t="shared" si="3"/>
        <v>-0.37220272240228103</v>
      </c>
    </row>
    <row r="31" spans="1:7" ht="23.1" customHeight="1" x14ac:dyDescent="0.2">
      <c r="A31" s="74">
        <v>9</v>
      </c>
      <c r="B31" s="75" t="s">
        <v>90</v>
      </c>
      <c r="C31" s="76">
        <v>60565736</v>
      </c>
      <c r="D31" s="76">
        <v>70461841</v>
      </c>
      <c r="E31" s="76">
        <f t="shared" si="2"/>
        <v>9896105</v>
      </c>
      <c r="F31" s="77">
        <f t="shared" si="3"/>
        <v>0.16339444797632774</v>
      </c>
    </row>
    <row r="32" spans="1:7" ht="23.1" customHeight="1" x14ac:dyDescent="0.25">
      <c r="A32" s="71"/>
      <c r="B32" s="78" t="s">
        <v>91</v>
      </c>
      <c r="C32" s="79">
        <f>SUM(C23:C31)</f>
        <v>270284269</v>
      </c>
      <c r="D32" s="79">
        <f>SUM(D23:D31)</f>
        <v>286339541</v>
      </c>
      <c r="E32" s="79">
        <f t="shared" si="2"/>
        <v>16055272</v>
      </c>
      <c r="F32" s="80">
        <f t="shared" si="3"/>
        <v>5.9401429685129029E-2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34760819</v>
      </c>
      <c r="D34" s="79">
        <f>+D20-D32</f>
        <v>32547196</v>
      </c>
      <c r="E34" s="79">
        <f>D34-C34</f>
        <v>-2213623</v>
      </c>
      <c r="F34" s="80">
        <f>IF(C34=0,0,E34/C34)</f>
        <v>-6.3681554798809548E-2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1225618</v>
      </c>
      <c r="D37" s="76">
        <v>32349615</v>
      </c>
      <c r="E37" s="76">
        <f>D37-C37</f>
        <v>31123997</v>
      </c>
      <c r="F37" s="77">
        <f>IF(C37=0,0,E37/C37)</f>
        <v>25.394533206920915</v>
      </c>
    </row>
    <row r="38" spans="1:6" ht="23.1" customHeight="1" x14ac:dyDescent="0.2">
      <c r="A38" s="85">
        <v>2</v>
      </c>
      <c r="B38" s="75" t="s">
        <v>95</v>
      </c>
      <c r="C38" s="76">
        <v>166697</v>
      </c>
      <c r="D38" s="76">
        <v>137003</v>
      </c>
      <c r="E38" s="76">
        <f>D38-C38</f>
        <v>-29694</v>
      </c>
      <c r="F38" s="77">
        <f>IF(C38=0,0,E38/C38)</f>
        <v>-0.17813158005243046</v>
      </c>
    </row>
    <row r="39" spans="1:6" ht="23.1" customHeight="1" x14ac:dyDescent="0.2">
      <c r="A39" s="85">
        <v>3</v>
      </c>
      <c r="B39" s="75" t="s">
        <v>96</v>
      </c>
      <c r="C39" s="76">
        <v>55526</v>
      </c>
      <c r="D39" s="76">
        <v>9461</v>
      </c>
      <c r="E39" s="76">
        <f>D39-C39</f>
        <v>-46065</v>
      </c>
      <c r="F39" s="77">
        <f>IF(C39=0,0,E39/C39)</f>
        <v>-0.82961135323992363</v>
      </c>
    </row>
    <row r="40" spans="1:6" ht="23.1" customHeight="1" x14ac:dyDescent="0.25">
      <c r="A40" s="83"/>
      <c r="B40" s="78" t="s">
        <v>97</v>
      </c>
      <c r="C40" s="79">
        <f>SUM(C37:C39)</f>
        <v>1447841</v>
      </c>
      <c r="D40" s="79">
        <f>SUM(D37:D39)</f>
        <v>32496079</v>
      </c>
      <c r="E40" s="79">
        <f>D40-C40</f>
        <v>31048238</v>
      </c>
      <c r="F40" s="80">
        <f>IF(C40=0,0,E40/C40)</f>
        <v>21.444508064076096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36208660</v>
      </c>
      <c r="D42" s="79">
        <f>D34+D40</f>
        <v>65043275</v>
      </c>
      <c r="E42" s="79">
        <f>D42-C42</f>
        <v>28834615</v>
      </c>
      <c r="F42" s="80">
        <f>IF(C42=0,0,E42/C42)</f>
        <v>0.79634581892839995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404190</v>
      </c>
      <c r="D45" s="76">
        <v>-660123</v>
      </c>
      <c r="E45" s="76">
        <f>D45-C45</f>
        <v>-1064313</v>
      </c>
      <c r="F45" s="77">
        <f>IF(C45=0,0,E45/C45)</f>
        <v>-2.6331997327989312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404190</v>
      </c>
      <c r="D47" s="79">
        <f>SUM(D45:D46)</f>
        <v>-660123</v>
      </c>
      <c r="E47" s="79">
        <f>D47-C47</f>
        <v>-1064313</v>
      </c>
      <c r="F47" s="80">
        <f>IF(C47=0,0,E47/C47)</f>
        <v>-2.6331997327989312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36612850</v>
      </c>
      <c r="D49" s="79">
        <f>D42+D47</f>
        <v>64383152</v>
      </c>
      <c r="E49" s="79">
        <f>D49-C49</f>
        <v>27770302</v>
      </c>
      <c r="F49" s="80">
        <f>IF(C49=0,0,E49/C49)</f>
        <v>0.75848512202682938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FILING&amp;R&amp;8BACKUS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cp:lastPrinted>2017-09-19T18:47:09Z</cp:lastPrinted>
  <dcterms:created xsi:type="dcterms:W3CDTF">2017-09-14T16:25:35Z</dcterms:created>
  <dcterms:modified xsi:type="dcterms:W3CDTF">2017-09-19T19:09:19Z</dcterms:modified>
</cp:coreProperties>
</file>