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19368" windowHeight="10488" activeTab="4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C96" i="22"/>
  <c r="C98" i="22" s="1"/>
  <c r="E92" i="22"/>
  <c r="D92" i="22"/>
  <c r="C92" i="22"/>
  <c r="E91" i="22"/>
  <c r="E93" i="22"/>
  <c r="D91" i="22"/>
  <c r="C91" i="22"/>
  <c r="C93" i="22" s="1"/>
  <c r="E87" i="22"/>
  <c r="D87" i="22"/>
  <c r="C87" i="22"/>
  <c r="E86" i="22"/>
  <c r="E88" i="22" s="1"/>
  <c r="D86" i="22"/>
  <c r="D88" i="22"/>
  <c r="C86" i="22"/>
  <c r="E83" i="22"/>
  <c r="D83" i="22"/>
  <c r="C83" i="22"/>
  <c r="E76" i="22"/>
  <c r="E102" i="22" s="1"/>
  <c r="D76" i="22"/>
  <c r="C76" i="22"/>
  <c r="E75" i="22"/>
  <c r="D75" i="22"/>
  <c r="D77" i="22" s="1"/>
  <c r="D109" i="22" s="1"/>
  <c r="C75" i="22"/>
  <c r="C101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3" i="22"/>
  <c r="E21" i="22"/>
  <c r="D21" i="22"/>
  <c r="C21" i="22"/>
  <c r="E12" i="22"/>
  <c r="E33" i="22" s="1"/>
  <c r="D12" i="22"/>
  <c r="D34" i="22" s="1"/>
  <c r="C12" i="22"/>
  <c r="C22" i="22" s="1"/>
  <c r="D21" i="21"/>
  <c r="C21" i="21"/>
  <c r="D19" i="21"/>
  <c r="E19" i="21" s="1"/>
  <c r="C19" i="21"/>
  <c r="F17" i="21"/>
  <c r="E17" i="21"/>
  <c r="E15" i="21"/>
  <c r="F15" i="21" s="1"/>
  <c r="D45" i="20"/>
  <c r="E45" i="20" s="1"/>
  <c r="C45" i="20"/>
  <c r="D44" i="20"/>
  <c r="C44" i="20"/>
  <c r="D43" i="20"/>
  <c r="C43" i="20"/>
  <c r="D36" i="20"/>
  <c r="D40" i="20" s="1"/>
  <c r="C36" i="20"/>
  <c r="C40" i="20" s="1"/>
  <c r="E35" i="20"/>
  <c r="F35" i="20" s="1"/>
  <c r="E34" i="20"/>
  <c r="F34" i="20" s="1"/>
  <c r="F33" i="20"/>
  <c r="E33" i="20"/>
  <c r="E30" i="20"/>
  <c r="F30" i="20" s="1"/>
  <c r="E29" i="20"/>
  <c r="F29" i="20" s="1"/>
  <c r="E28" i="20"/>
  <c r="F28" i="20" s="1"/>
  <c r="F27" i="20"/>
  <c r="E27" i="20"/>
  <c r="D25" i="20"/>
  <c r="D39" i="20" s="1"/>
  <c r="C25" i="20"/>
  <c r="C39" i="20"/>
  <c r="F24" i="20"/>
  <c r="E24" i="20"/>
  <c r="E23" i="20"/>
  <c r="F23" i="20" s="1"/>
  <c r="F22" i="20"/>
  <c r="E22" i="20"/>
  <c r="D19" i="20"/>
  <c r="D20" i="20" s="1"/>
  <c r="C19" i="20"/>
  <c r="E18" i="20"/>
  <c r="F18" i="20" s="1"/>
  <c r="D16" i="20"/>
  <c r="C16" i="20"/>
  <c r="E15" i="20"/>
  <c r="F15" i="20" s="1"/>
  <c r="E13" i="20"/>
  <c r="F13" i="20" s="1"/>
  <c r="F12" i="20"/>
  <c r="E12" i="20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3" i="19"/>
  <c r="C60" i="19"/>
  <c r="C59" i="19"/>
  <c r="C48" i="19"/>
  <c r="C64" i="19" s="1"/>
  <c r="C36" i="19"/>
  <c r="C32" i="19"/>
  <c r="C33" i="19" s="1"/>
  <c r="C21" i="19"/>
  <c r="E328" i="18"/>
  <c r="E325" i="18"/>
  <c r="D324" i="18"/>
  <c r="D326" i="18" s="1"/>
  <c r="C324" i="18"/>
  <c r="C326" i="18" s="1"/>
  <c r="E318" i="18"/>
  <c r="E315" i="18"/>
  <c r="D314" i="18"/>
  <c r="D316" i="18"/>
  <c r="C314" i="18"/>
  <c r="C316" i="18" s="1"/>
  <c r="C320" i="18" s="1"/>
  <c r="E320" i="18" s="1"/>
  <c r="E308" i="18"/>
  <c r="E305" i="18"/>
  <c r="D301" i="18"/>
  <c r="C301" i="18"/>
  <c r="E301" i="18" s="1"/>
  <c r="D293" i="18"/>
  <c r="E293" i="18" s="1"/>
  <c r="C293" i="18"/>
  <c r="D292" i="18"/>
  <c r="C292" i="18"/>
  <c r="E292" i="18" s="1"/>
  <c r="D291" i="18"/>
  <c r="E291" i="18" s="1"/>
  <c r="C291" i="18"/>
  <c r="D290" i="18"/>
  <c r="C290" i="18"/>
  <c r="D288" i="18"/>
  <c r="C288" i="18"/>
  <c r="D287" i="18"/>
  <c r="C287" i="18"/>
  <c r="D282" i="18"/>
  <c r="C282" i="18"/>
  <c r="E282" i="18"/>
  <c r="D281" i="18"/>
  <c r="E281" i="18" s="1"/>
  <c r="C281" i="18"/>
  <c r="D280" i="18"/>
  <c r="E280" i="18" s="1"/>
  <c r="C280" i="18"/>
  <c r="D279" i="18"/>
  <c r="E279" i="18" s="1"/>
  <c r="C279" i="18"/>
  <c r="D278" i="18"/>
  <c r="E278" i="18" s="1"/>
  <c r="C278" i="18"/>
  <c r="D277" i="18"/>
  <c r="C277" i="18"/>
  <c r="D276" i="18"/>
  <c r="E276" i="18" s="1"/>
  <c r="C276" i="18"/>
  <c r="E270" i="18"/>
  <c r="D265" i="18"/>
  <c r="D302" i="18" s="1"/>
  <c r="C265" i="18"/>
  <c r="D262" i="18"/>
  <c r="C262" i="18"/>
  <c r="D251" i="18"/>
  <c r="E251" i="18" s="1"/>
  <c r="C251" i="18"/>
  <c r="D233" i="18"/>
  <c r="C233" i="18"/>
  <c r="C253" i="18" s="1"/>
  <c r="D232" i="18"/>
  <c r="E232" i="18" s="1"/>
  <c r="C232" i="18"/>
  <c r="D231" i="18"/>
  <c r="C231" i="18"/>
  <c r="D230" i="18"/>
  <c r="E230" i="18" s="1"/>
  <c r="C230" i="18"/>
  <c r="D228" i="18"/>
  <c r="C228" i="18"/>
  <c r="E228" i="18" s="1"/>
  <c r="D227" i="18"/>
  <c r="E227" i="18" s="1"/>
  <c r="C227" i="18"/>
  <c r="D221" i="18"/>
  <c r="C221" i="18"/>
  <c r="C245" i="18" s="1"/>
  <c r="D220" i="18"/>
  <c r="E220" i="18" s="1"/>
  <c r="C220" i="18"/>
  <c r="C244" i="18" s="1"/>
  <c r="D219" i="18"/>
  <c r="C219" i="18"/>
  <c r="C243" i="18" s="1"/>
  <c r="D218" i="18"/>
  <c r="D242" i="18" s="1"/>
  <c r="C218" i="18"/>
  <c r="D216" i="18"/>
  <c r="C216" i="18"/>
  <c r="C240" i="18" s="1"/>
  <c r="D215" i="18"/>
  <c r="C215" i="18"/>
  <c r="E209" i="18"/>
  <c r="E208" i="18"/>
  <c r="E207" i="18"/>
  <c r="E206" i="18"/>
  <c r="D205" i="18"/>
  <c r="C205" i="18"/>
  <c r="C210" i="18" s="1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C188" i="18"/>
  <c r="C189" i="18" s="1"/>
  <c r="E186" i="18"/>
  <c r="E185" i="18"/>
  <c r="D179" i="18"/>
  <c r="C179" i="18"/>
  <c r="D178" i="18"/>
  <c r="E178" i="18" s="1"/>
  <c r="C178" i="18"/>
  <c r="D177" i="18"/>
  <c r="E177" i="18" s="1"/>
  <c r="C177" i="18"/>
  <c r="D176" i="18"/>
  <c r="C176" i="18"/>
  <c r="E176" i="18" s="1"/>
  <c r="D174" i="18"/>
  <c r="C174" i="18"/>
  <c r="D173" i="18"/>
  <c r="C173" i="18"/>
  <c r="D167" i="18"/>
  <c r="E167" i="18" s="1"/>
  <c r="C167" i="18"/>
  <c r="D166" i="18"/>
  <c r="E166" i="18"/>
  <c r="C166" i="18"/>
  <c r="D165" i="18"/>
  <c r="C165" i="18"/>
  <c r="E165" i="18" s="1"/>
  <c r="D164" i="18"/>
  <c r="E164" i="18" s="1"/>
  <c r="C164" i="18"/>
  <c r="D162" i="18"/>
  <c r="C162" i="18"/>
  <c r="D161" i="18"/>
  <c r="E161" i="18" s="1"/>
  <c r="C161" i="18"/>
  <c r="E155" i="18"/>
  <c r="E154" i="18"/>
  <c r="E153" i="18"/>
  <c r="E152" i="18"/>
  <c r="D151" i="18"/>
  <c r="D156" i="18" s="1"/>
  <c r="C151" i="18"/>
  <c r="C156" i="18" s="1"/>
  <c r="E150" i="18"/>
  <c r="E149" i="18"/>
  <c r="D144" i="18"/>
  <c r="E143" i="18"/>
  <c r="E142" i="18"/>
  <c r="E141" i="18"/>
  <c r="E140" i="18"/>
  <c r="D139" i="18"/>
  <c r="D163" i="18"/>
  <c r="E163" i="18" s="1"/>
  <c r="C139" i="18"/>
  <c r="C163" i="18" s="1"/>
  <c r="E138" i="18"/>
  <c r="E137" i="18"/>
  <c r="D75" i="18"/>
  <c r="E75" i="18" s="1"/>
  <c r="C75" i="18"/>
  <c r="D74" i="18"/>
  <c r="C74" i="18"/>
  <c r="E74" i="18" s="1"/>
  <c r="D73" i="18"/>
  <c r="C73" i="18"/>
  <c r="D72" i="18"/>
  <c r="C72" i="18"/>
  <c r="D70" i="18"/>
  <c r="C70" i="18"/>
  <c r="D69" i="18"/>
  <c r="C69" i="18"/>
  <c r="D65" i="18"/>
  <c r="D66" i="18" s="1"/>
  <c r="E64" i="18"/>
  <c r="E63" i="18"/>
  <c r="E62" i="18"/>
  <c r="E61" i="18"/>
  <c r="D60" i="18"/>
  <c r="C60" i="18"/>
  <c r="C65" i="18" s="1"/>
  <c r="C66" i="18" s="1"/>
  <c r="E59" i="18"/>
  <c r="E58" i="18"/>
  <c r="D54" i="18"/>
  <c r="D55" i="18" s="1"/>
  <c r="C54" i="18"/>
  <c r="C234" i="18" s="1"/>
  <c r="C55" i="18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D40" i="18"/>
  <c r="E40" i="18" s="1"/>
  <c r="C40" i="18"/>
  <c r="D39" i="18"/>
  <c r="C39" i="18"/>
  <c r="D38" i="18"/>
  <c r="C38" i="18"/>
  <c r="D37" i="18"/>
  <c r="D43" i="18" s="1"/>
  <c r="D44" i="18" s="1"/>
  <c r="D100" i="18" s="1"/>
  <c r="E37" i="18"/>
  <c r="C37" i="18"/>
  <c r="D36" i="18"/>
  <c r="C36" i="18"/>
  <c r="D32" i="18"/>
  <c r="C32" i="18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E330" i="17"/>
  <c r="F330" i="17" s="1"/>
  <c r="E329" i="17"/>
  <c r="F329" i="17" s="1"/>
  <c r="F316" i="17"/>
  <c r="E316" i="17"/>
  <c r="D311" i="17"/>
  <c r="E311" i="17" s="1"/>
  <c r="C311" i="17"/>
  <c r="F311" i="17" s="1"/>
  <c r="E308" i="17"/>
  <c r="F308" i="17"/>
  <c r="D307" i="17"/>
  <c r="E307" i="17" s="1"/>
  <c r="F307" i="17" s="1"/>
  <c r="C307" i="17"/>
  <c r="D299" i="17"/>
  <c r="C299" i="17"/>
  <c r="D298" i="17"/>
  <c r="C298" i="17"/>
  <c r="D297" i="17"/>
  <c r="C297" i="17"/>
  <c r="D296" i="17"/>
  <c r="E296" i="17" s="1"/>
  <c r="F296" i="17" s="1"/>
  <c r="C296" i="17"/>
  <c r="D295" i="17"/>
  <c r="C295" i="17"/>
  <c r="D294" i="17"/>
  <c r="E294" i="17" s="1"/>
  <c r="C294" i="17"/>
  <c r="D250" i="17"/>
  <c r="D306" i="17" s="1"/>
  <c r="C250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C237" i="17"/>
  <c r="E237" i="17" s="1"/>
  <c r="E234" i="17"/>
  <c r="F234" i="17" s="1"/>
  <c r="E233" i="17"/>
  <c r="F233" i="17"/>
  <c r="D230" i="17"/>
  <c r="E230" i="17" s="1"/>
  <c r="F230" i="17" s="1"/>
  <c r="C230" i="17"/>
  <c r="D229" i="17"/>
  <c r="C229" i="17"/>
  <c r="E228" i="17"/>
  <c r="F228" i="17" s="1"/>
  <c r="D226" i="17"/>
  <c r="D227" i="17" s="1"/>
  <c r="C226" i="17"/>
  <c r="E225" i="17"/>
  <c r="F225" i="17" s="1"/>
  <c r="E224" i="17"/>
  <c r="F224" i="17"/>
  <c r="D223" i="17"/>
  <c r="C223" i="17"/>
  <c r="E222" i="17"/>
  <c r="F222" i="17" s="1"/>
  <c r="E221" i="17"/>
  <c r="F221" i="17" s="1"/>
  <c r="D204" i="17"/>
  <c r="C204" i="17"/>
  <c r="D203" i="17"/>
  <c r="C203" i="17"/>
  <c r="D198" i="17"/>
  <c r="D274" i="17" s="1"/>
  <c r="C198" i="17"/>
  <c r="D191" i="17"/>
  <c r="C191" i="17"/>
  <c r="D189" i="17"/>
  <c r="C189" i="17"/>
  <c r="C190" i="17" s="1"/>
  <c r="E190" i="17" s="1"/>
  <c r="F190" i="17" s="1"/>
  <c r="D188" i="17"/>
  <c r="C188" i="17"/>
  <c r="C214" i="17"/>
  <c r="D180" i="17"/>
  <c r="E180" i="17" s="1"/>
  <c r="C180" i="17"/>
  <c r="D179" i="17"/>
  <c r="C179" i="17"/>
  <c r="D171" i="17"/>
  <c r="C171" i="17"/>
  <c r="C172" i="17"/>
  <c r="C173" i="17" s="1"/>
  <c r="D170" i="17"/>
  <c r="E170" i="17" s="1"/>
  <c r="C170" i="17"/>
  <c r="F169" i="17"/>
  <c r="E169" i="17"/>
  <c r="F168" i="17"/>
  <c r="E168" i="17"/>
  <c r="D165" i="17"/>
  <c r="C165" i="17"/>
  <c r="D164" i="17"/>
  <c r="C164" i="17"/>
  <c r="F164" i="17" s="1"/>
  <c r="F163" i="17"/>
  <c r="E163" i="17"/>
  <c r="D158" i="17"/>
  <c r="C158" i="17"/>
  <c r="C159" i="17"/>
  <c r="F159" i="17" s="1"/>
  <c r="F157" i="17"/>
  <c r="E157" i="17"/>
  <c r="F156" i="17"/>
  <c r="E156" i="17"/>
  <c r="D155" i="17"/>
  <c r="E155" i="17" s="1"/>
  <c r="C155" i="17"/>
  <c r="F154" i="17"/>
  <c r="E154" i="17"/>
  <c r="F153" i="17"/>
  <c r="E153" i="17"/>
  <c r="D145" i="17"/>
  <c r="C145" i="17"/>
  <c r="D144" i="17"/>
  <c r="D146" i="17" s="1"/>
  <c r="E146" i="17" s="1"/>
  <c r="F146" i="17" s="1"/>
  <c r="C144" i="17"/>
  <c r="C146" i="17" s="1"/>
  <c r="D136" i="17"/>
  <c r="D137" i="17" s="1"/>
  <c r="C136" i="17"/>
  <c r="C137" i="17"/>
  <c r="D135" i="17"/>
  <c r="E135" i="17" s="1"/>
  <c r="F135" i="17" s="1"/>
  <c r="C135" i="17"/>
  <c r="E134" i="17"/>
  <c r="F134" i="17" s="1"/>
  <c r="E133" i="17"/>
  <c r="F133" i="17" s="1"/>
  <c r="D130" i="17"/>
  <c r="C130" i="17"/>
  <c r="E130" i="17" s="1"/>
  <c r="F130" i="17" s="1"/>
  <c r="D129" i="17"/>
  <c r="C129" i="17"/>
  <c r="E128" i="17"/>
  <c r="F128" i="17" s="1"/>
  <c r="D123" i="17"/>
  <c r="C123" i="17"/>
  <c r="E122" i="17"/>
  <c r="F122" i="17" s="1"/>
  <c r="E121" i="17"/>
  <c r="F121" i="17"/>
  <c r="D120" i="17"/>
  <c r="E120" i="17" s="1"/>
  <c r="F120" i="17" s="1"/>
  <c r="C120" i="17"/>
  <c r="E119" i="17"/>
  <c r="F119" i="17" s="1"/>
  <c r="E118" i="17"/>
  <c r="F118" i="17" s="1"/>
  <c r="D110" i="17"/>
  <c r="C110" i="17"/>
  <c r="D109" i="17"/>
  <c r="C109" i="17"/>
  <c r="D101" i="17"/>
  <c r="C101" i="17"/>
  <c r="C102" i="17"/>
  <c r="C103" i="17" s="1"/>
  <c r="D100" i="17"/>
  <c r="E100" i="17" s="1"/>
  <c r="F100" i="17" s="1"/>
  <c r="C100" i="17"/>
  <c r="E99" i="17"/>
  <c r="F99" i="17" s="1"/>
  <c r="E98" i="17"/>
  <c r="F98" i="17"/>
  <c r="D95" i="17"/>
  <c r="C95" i="17"/>
  <c r="D94" i="17"/>
  <c r="E94" i="17" s="1"/>
  <c r="C94" i="17"/>
  <c r="F94" i="17" s="1"/>
  <c r="E93" i="17"/>
  <c r="F93" i="17"/>
  <c r="C89" i="17"/>
  <c r="F89" i="17" s="1"/>
  <c r="D88" i="17"/>
  <c r="C88" i="17"/>
  <c r="E87" i="17"/>
  <c r="F87" i="17"/>
  <c r="E86" i="17"/>
  <c r="F86" i="17" s="1"/>
  <c r="D85" i="17"/>
  <c r="C85" i="17"/>
  <c r="F85" i="17"/>
  <c r="F84" i="17"/>
  <c r="E84" i="17"/>
  <c r="E83" i="17"/>
  <c r="F83" i="17" s="1"/>
  <c r="D76" i="17"/>
  <c r="D77" i="17" s="1"/>
  <c r="C76" i="17"/>
  <c r="E74" i="17"/>
  <c r="F74" i="17" s="1"/>
  <c r="E73" i="17"/>
  <c r="F73" i="17" s="1"/>
  <c r="D67" i="17"/>
  <c r="D68" i="17" s="1"/>
  <c r="C67" i="17"/>
  <c r="D66" i="17"/>
  <c r="C66" i="17"/>
  <c r="C304" i="17" s="1"/>
  <c r="D59" i="17"/>
  <c r="C59" i="17"/>
  <c r="D58" i="17"/>
  <c r="C58" i="17"/>
  <c r="E58" i="17" s="1"/>
  <c r="E57" i="17"/>
  <c r="F57" i="17" s="1"/>
  <c r="E56" i="17"/>
  <c r="F56" i="17" s="1"/>
  <c r="D53" i="17"/>
  <c r="C53" i="17"/>
  <c r="D52" i="17"/>
  <c r="C52" i="17"/>
  <c r="E51" i="17"/>
  <c r="F51" i="17"/>
  <c r="D47" i="17"/>
  <c r="C47" i="17"/>
  <c r="C48" i="17" s="1"/>
  <c r="C160" i="17" s="1"/>
  <c r="E46" i="17"/>
  <c r="F46" i="17" s="1"/>
  <c r="E45" i="17"/>
  <c r="F45" i="17" s="1"/>
  <c r="D44" i="17"/>
  <c r="C44" i="17"/>
  <c r="E43" i="17"/>
  <c r="F43" i="17" s="1"/>
  <c r="E42" i="17"/>
  <c r="F42" i="17" s="1"/>
  <c r="D36" i="17"/>
  <c r="C36" i="17"/>
  <c r="D35" i="17"/>
  <c r="C35" i="17"/>
  <c r="D30" i="17"/>
  <c r="D31" i="17"/>
  <c r="C30" i="17"/>
  <c r="D29" i="17"/>
  <c r="C29" i="17"/>
  <c r="E28" i="17"/>
  <c r="F28" i="17"/>
  <c r="E27" i="17"/>
  <c r="F27" i="17" s="1"/>
  <c r="D24" i="17"/>
  <c r="C24" i="17"/>
  <c r="D23" i="17"/>
  <c r="E23" i="17" s="1"/>
  <c r="C23" i="17"/>
  <c r="E22" i="17"/>
  <c r="F22" i="17"/>
  <c r="D20" i="17"/>
  <c r="C20" i="17"/>
  <c r="E19" i="17"/>
  <c r="F19" i="17" s="1"/>
  <c r="E18" i="17"/>
  <c r="F18" i="17" s="1"/>
  <c r="D17" i="17"/>
  <c r="C17" i="17"/>
  <c r="E17" i="17" s="1"/>
  <c r="E16" i="17"/>
  <c r="F16" i="17" s="1"/>
  <c r="E15" i="17"/>
  <c r="F15" i="17"/>
  <c r="D21" i="16"/>
  <c r="E21" i="16" s="1"/>
  <c r="C21" i="16"/>
  <c r="E20" i="16"/>
  <c r="F20" i="16" s="1"/>
  <c r="D17" i="16"/>
  <c r="C17" i="16"/>
  <c r="E16" i="16"/>
  <c r="F16" i="16" s="1"/>
  <c r="D13" i="16"/>
  <c r="E13" i="16" s="1"/>
  <c r="C13" i="16"/>
  <c r="E12" i="16"/>
  <c r="F12" i="16" s="1"/>
  <c r="D107" i="15"/>
  <c r="C107" i="15"/>
  <c r="E107" i="15" s="1"/>
  <c r="E106" i="15"/>
  <c r="F106" i="15" s="1"/>
  <c r="E105" i="15"/>
  <c r="F105" i="15" s="1"/>
  <c r="F104" i="15"/>
  <c r="E104" i="15"/>
  <c r="D100" i="15"/>
  <c r="C100" i="15"/>
  <c r="F99" i="15"/>
  <c r="E99" i="15"/>
  <c r="E98" i="15"/>
  <c r="F98" i="15" s="1"/>
  <c r="E97" i="15"/>
  <c r="F97" i="15" s="1"/>
  <c r="E96" i="15"/>
  <c r="F96" i="15" s="1"/>
  <c r="E95" i="15"/>
  <c r="F95" i="15" s="1"/>
  <c r="D92" i="15"/>
  <c r="E92" i="15" s="1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 s="1"/>
  <c r="E73" i="15"/>
  <c r="D70" i="15"/>
  <c r="C70" i="15"/>
  <c r="E69" i="15"/>
  <c r="F69" i="15" s="1"/>
  <c r="E68" i="15"/>
  <c r="F68" i="15" s="1"/>
  <c r="D65" i="15"/>
  <c r="C65" i="15"/>
  <c r="E64" i="15"/>
  <c r="F64" i="15" s="1"/>
  <c r="E63" i="15"/>
  <c r="F63" i="15" s="1"/>
  <c r="D60" i="15"/>
  <c r="C60" i="15"/>
  <c r="F60" i="15" s="1"/>
  <c r="F59" i="15"/>
  <c r="E59" i="15"/>
  <c r="F58" i="15"/>
  <c r="E58" i="15"/>
  <c r="E60" i="15"/>
  <c r="F55" i="15"/>
  <c r="D55" i="15"/>
  <c r="C55" i="15"/>
  <c r="E55" i="15" s="1"/>
  <c r="F54" i="15"/>
  <c r="E54" i="15"/>
  <c r="F53" i="15"/>
  <c r="E53" i="15"/>
  <c r="F50" i="15"/>
  <c r="D50" i="15"/>
  <c r="C50" i="15"/>
  <c r="E50" i="15" s="1"/>
  <c r="F49" i="15"/>
  <c r="E49" i="15"/>
  <c r="F48" i="15"/>
  <c r="E48" i="15"/>
  <c r="F45" i="15"/>
  <c r="D45" i="15"/>
  <c r="C45" i="15"/>
  <c r="E45" i="15" s="1"/>
  <c r="F44" i="15"/>
  <c r="E44" i="15"/>
  <c r="F43" i="15"/>
  <c r="E43" i="15"/>
  <c r="F37" i="15"/>
  <c r="D37" i="15"/>
  <c r="C37" i="15"/>
  <c r="E37" i="15" s="1"/>
  <c r="F36" i="15"/>
  <c r="E36" i="15"/>
  <c r="F35" i="15"/>
  <c r="E35" i="15"/>
  <c r="F34" i="15"/>
  <c r="E34" i="15"/>
  <c r="F33" i="15"/>
  <c r="E33" i="15"/>
  <c r="D30" i="15"/>
  <c r="E30" i="15" s="1"/>
  <c r="C30" i="15"/>
  <c r="F29" i="15"/>
  <c r="E29" i="15"/>
  <c r="F28" i="15"/>
  <c r="E28" i="15"/>
  <c r="E27" i="15"/>
  <c r="F27" i="15" s="1"/>
  <c r="F26" i="15"/>
  <c r="E26" i="15"/>
  <c r="D23" i="15"/>
  <c r="C23" i="15"/>
  <c r="F22" i="15"/>
  <c r="E22" i="15"/>
  <c r="E21" i="15"/>
  <c r="F21" i="15" s="1"/>
  <c r="E20" i="15"/>
  <c r="F20" i="15" s="1"/>
  <c r="E19" i="15"/>
  <c r="F19" i="15" s="1"/>
  <c r="D16" i="15"/>
  <c r="E16" i="15"/>
  <c r="C16" i="15"/>
  <c r="F15" i="15"/>
  <c r="E15" i="15"/>
  <c r="F14" i="15"/>
  <c r="E14" i="15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F33" i="14" s="1"/>
  <c r="E17" i="14"/>
  <c r="E31" i="14" s="1"/>
  <c r="D17" i="14"/>
  <c r="D33" i="14" s="1"/>
  <c r="D36" i="14" s="1"/>
  <c r="D38" i="14" s="1"/>
  <c r="D40" i="14" s="1"/>
  <c r="C17" i="14"/>
  <c r="C31" i="14"/>
  <c r="H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/>
  <c r="D77" i="13" s="1"/>
  <c r="C78" i="13"/>
  <c r="E75" i="13"/>
  <c r="E69" i="13" s="1"/>
  <c r="C75" i="13"/>
  <c r="E73" i="13"/>
  <c r="D73" i="13"/>
  <c r="D75" i="13" s="1"/>
  <c r="C73" i="13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C59" i="13"/>
  <c r="E58" i="13"/>
  <c r="D58" i="13"/>
  <c r="C58" i="13"/>
  <c r="E55" i="13"/>
  <c r="D55" i="13"/>
  <c r="C55" i="13"/>
  <c r="E54" i="13"/>
  <c r="D54" i="13"/>
  <c r="D50" i="13" s="1"/>
  <c r="C54" i="13"/>
  <c r="E46" i="13"/>
  <c r="D46" i="13"/>
  <c r="D59" i="13" s="1"/>
  <c r="C46" i="13"/>
  <c r="C48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13" i="13"/>
  <c r="E15" i="13" s="1"/>
  <c r="E24" i="13" s="1"/>
  <c r="D13" i="13"/>
  <c r="D25" i="13" s="1"/>
  <c r="C13" i="13"/>
  <c r="D47" i="12"/>
  <c r="E47" i="12" s="1"/>
  <c r="C47" i="12"/>
  <c r="F47" i="12" s="1"/>
  <c r="F46" i="12"/>
  <c r="E46" i="12"/>
  <c r="F45" i="12"/>
  <c r="E45" i="12"/>
  <c r="D40" i="12"/>
  <c r="C40" i="12"/>
  <c r="F39" i="12"/>
  <c r="E39" i="12"/>
  <c r="F38" i="12"/>
  <c r="E38" i="12"/>
  <c r="E37" i="12"/>
  <c r="F37" i="12" s="1"/>
  <c r="D32" i="12"/>
  <c r="C32" i="12"/>
  <c r="E31" i="12"/>
  <c r="F31" i="12" s="1"/>
  <c r="E30" i="12"/>
  <c r="F30" i="12" s="1"/>
  <c r="E29" i="12"/>
  <c r="F29" i="12" s="1"/>
  <c r="F28" i="12"/>
  <c r="E28" i="12"/>
  <c r="F27" i="12"/>
  <c r="E27" i="12"/>
  <c r="E26" i="12"/>
  <c r="F26" i="12" s="1"/>
  <c r="E25" i="12"/>
  <c r="F25" i="12" s="1"/>
  <c r="E24" i="12"/>
  <c r="F24" i="12" s="1"/>
  <c r="E23" i="12"/>
  <c r="F23" i="12"/>
  <c r="F19" i="12"/>
  <c r="E19" i="12"/>
  <c r="E18" i="12"/>
  <c r="F18" i="12" s="1"/>
  <c r="E16" i="12"/>
  <c r="F16" i="12" s="1"/>
  <c r="D15" i="12"/>
  <c r="D17" i="12" s="1"/>
  <c r="E17" i="12" s="1"/>
  <c r="F17" i="12" s="1"/>
  <c r="C15" i="12"/>
  <c r="C17" i="12" s="1"/>
  <c r="C20" i="12" s="1"/>
  <c r="F14" i="12"/>
  <c r="E14" i="12"/>
  <c r="E13" i="12"/>
  <c r="F13" i="12"/>
  <c r="E12" i="12"/>
  <c r="F12" i="12" s="1"/>
  <c r="E11" i="12"/>
  <c r="F11" i="12" s="1"/>
  <c r="D73" i="11"/>
  <c r="E73" i="11"/>
  <c r="F73" i="11" s="1"/>
  <c r="C73" i="11"/>
  <c r="E72" i="11"/>
  <c r="F72" i="11" s="1"/>
  <c r="F71" i="11"/>
  <c r="E71" i="11"/>
  <c r="E70" i="11"/>
  <c r="F70" i="11" s="1"/>
  <c r="F67" i="11"/>
  <c r="E67" i="11"/>
  <c r="E64" i="11"/>
  <c r="F64" i="11" s="1"/>
  <c r="E63" i="11"/>
  <c r="F63" i="11" s="1"/>
  <c r="D61" i="11"/>
  <c r="D65" i="11" s="1"/>
  <c r="E65" i="11" s="1"/>
  <c r="F65" i="11" s="1"/>
  <c r="C61" i="11"/>
  <c r="C65" i="11"/>
  <c r="E60" i="11"/>
  <c r="F60" i="11" s="1"/>
  <c r="E59" i="11"/>
  <c r="F59" i="11" s="1"/>
  <c r="D56" i="11"/>
  <c r="C56" i="11"/>
  <c r="E55" i="11"/>
  <c r="F55" i="11" s="1"/>
  <c r="E54" i="11"/>
  <c r="F54" i="11" s="1"/>
  <c r="E53" i="11"/>
  <c r="F53" i="11" s="1"/>
  <c r="F52" i="11"/>
  <c r="E52" i="11"/>
  <c r="E51" i="11"/>
  <c r="F51" i="11" s="1"/>
  <c r="E50" i="11"/>
  <c r="F50" i="1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D41" i="11" s="1"/>
  <c r="E41" i="11" s="1"/>
  <c r="F41" i="11" s="1"/>
  <c r="C38" i="11"/>
  <c r="C41" i="11" s="1"/>
  <c r="F37" i="11"/>
  <c r="E37" i="11"/>
  <c r="E36" i="11"/>
  <c r="F36" i="11" s="1"/>
  <c r="E33" i="11"/>
  <c r="F33" i="11" s="1"/>
  <c r="F32" i="11"/>
  <c r="E32" i="11"/>
  <c r="E31" i="11"/>
  <c r="F31" i="11" s="1"/>
  <c r="D29" i="11"/>
  <c r="C29" i="11"/>
  <c r="E28" i="11"/>
  <c r="F28" i="11" s="1"/>
  <c r="F27" i="11"/>
  <c r="E27" i="11"/>
  <c r="E26" i="11"/>
  <c r="F26" i="11" s="1"/>
  <c r="F25" i="11"/>
  <c r="E25" i="11"/>
  <c r="D22" i="11"/>
  <c r="C22" i="11"/>
  <c r="F21" i="11"/>
  <c r="E21" i="1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F14" i="11"/>
  <c r="E14" i="11"/>
  <c r="F13" i="11"/>
  <c r="E13" i="11"/>
  <c r="D120" i="10"/>
  <c r="E120" i="10"/>
  <c r="C120" i="10"/>
  <c r="F120" i="10" s="1"/>
  <c r="D119" i="10"/>
  <c r="C119" i="10"/>
  <c r="F119" i="10" s="1"/>
  <c r="D118" i="10"/>
  <c r="E118" i="10" s="1"/>
  <c r="C118" i="10"/>
  <c r="F118" i="10"/>
  <c r="D117" i="10"/>
  <c r="C117" i="10"/>
  <c r="F117" i="10" s="1"/>
  <c r="D116" i="10"/>
  <c r="C116" i="10"/>
  <c r="D115" i="10"/>
  <c r="C115" i="10"/>
  <c r="F115" i="10" s="1"/>
  <c r="D114" i="10"/>
  <c r="E114" i="10" s="1"/>
  <c r="C114" i="10"/>
  <c r="F114" i="10"/>
  <c r="D113" i="10"/>
  <c r="C113" i="10"/>
  <c r="D112" i="10"/>
  <c r="D121" i="10" s="1"/>
  <c r="E121" i="10" s="1"/>
  <c r="C112" i="10"/>
  <c r="F112" i="10" s="1"/>
  <c r="F108" i="10"/>
  <c r="D108" i="10"/>
  <c r="E108" i="10"/>
  <c r="C108" i="10"/>
  <c r="D107" i="10"/>
  <c r="E107" i="10" s="1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 s="1"/>
  <c r="C96" i="10"/>
  <c r="F95" i="10"/>
  <c r="D95" i="10"/>
  <c r="E95" i="10" s="1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 s="1"/>
  <c r="C36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E205" i="9" s="1"/>
  <c r="F205" i="9" s="1"/>
  <c r="D204" i="9"/>
  <c r="C204" i="9"/>
  <c r="D203" i="9"/>
  <c r="C203" i="9"/>
  <c r="D202" i="9"/>
  <c r="E202" i="9" s="1"/>
  <c r="C202" i="9"/>
  <c r="D201" i="9"/>
  <c r="E201" i="9"/>
  <c r="F201" i="9" s="1"/>
  <c r="C201" i="9"/>
  <c r="D200" i="9"/>
  <c r="C200" i="9"/>
  <c r="D199" i="9"/>
  <c r="C199" i="9"/>
  <c r="D198" i="9"/>
  <c r="C198" i="9"/>
  <c r="D193" i="9"/>
  <c r="C193" i="9"/>
  <c r="D192" i="9"/>
  <c r="E192" i="9" s="1"/>
  <c r="C192" i="9"/>
  <c r="E191" i="9"/>
  <c r="F191" i="9" s="1"/>
  <c r="F190" i="9"/>
  <c r="E190" i="9"/>
  <c r="E189" i="9"/>
  <c r="F189" i="9" s="1"/>
  <c r="E188" i="9"/>
  <c r="F188" i="9" s="1"/>
  <c r="E187" i="9"/>
  <c r="F187" i="9" s="1"/>
  <c r="F186" i="9"/>
  <c r="E186" i="9"/>
  <c r="E185" i="9"/>
  <c r="F185" i="9" s="1"/>
  <c r="E184" i="9"/>
  <c r="F184" i="9" s="1"/>
  <c r="E183" i="9"/>
  <c r="F183" i="9" s="1"/>
  <c r="D180" i="9"/>
  <c r="C180" i="9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E141" i="9" s="1"/>
  <c r="F141" i="9" s="1"/>
  <c r="D140" i="9"/>
  <c r="E140" i="9" s="1"/>
  <c r="C140" i="9"/>
  <c r="E139" i="9"/>
  <c r="F139" i="9" s="1"/>
  <c r="F138" i="9"/>
  <c r="E138" i="9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E131" i="9"/>
  <c r="F131" i="9" s="1"/>
  <c r="D128" i="9"/>
  <c r="C128" i="9"/>
  <c r="D127" i="9"/>
  <c r="C127" i="9"/>
  <c r="F126" i="9"/>
  <c r="E126" i="9"/>
  <c r="E125" i="9"/>
  <c r="F125" i="9" s="1"/>
  <c r="E124" i="9"/>
  <c r="F124" i="9" s="1"/>
  <c r="E123" i="9"/>
  <c r="F123" i="9" s="1"/>
  <c r="F122" i="9"/>
  <c r="E122" i="9"/>
  <c r="E121" i="9"/>
  <c r="F121" i="9" s="1"/>
  <c r="E120" i="9"/>
  <c r="F120" i="9" s="1"/>
  <c r="E119" i="9"/>
  <c r="F119" i="9" s="1"/>
  <c r="E118" i="9"/>
  <c r="F118" i="9" s="1"/>
  <c r="D115" i="9"/>
  <c r="E115" i="9"/>
  <c r="C115" i="9"/>
  <c r="D114" i="9"/>
  <c r="E114" i="9"/>
  <c r="F114" i="9" s="1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C102" i="9"/>
  <c r="D101" i="9"/>
  <c r="E101" i="9" s="1"/>
  <c r="C101" i="9"/>
  <c r="F101" i="9" s="1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D89" i="9"/>
  <c r="E89" i="9" s="1"/>
  <c r="C89" i="9"/>
  <c r="F89" i="9" s="1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F76" i="9"/>
  <c r="C76" i="9"/>
  <c r="D75" i="9"/>
  <c r="C75" i="9"/>
  <c r="E75" i="9" s="1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D63" i="9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 s="1"/>
  <c r="E46" i="9"/>
  <c r="F46" i="9" s="1"/>
  <c r="F45" i="9"/>
  <c r="E45" i="9"/>
  <c r="E44" i="9"/>
  <c r="F44" i="9" s="1"/>
  <c r="E43" i="9"/>
  <c r="F43" i="9" s="1"/>
  <c r="F42" i="9"/>
  <c r="E42" i="9"/>
  <c r="E41" i="9"/>
  <c r="F41" i="9" s="1"/>
  <c r="E40" i="9"/>
  <c r="F40" i="9" s="1"/>
  <c r="F37" i="9"/>
  <c r="D37" i="9"/>
  <c r="C37" i="9"/>
  <c r="F36" i="9"/>
  <c r="D36" i="9"/>
  <c r="E36" i="9" s="1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C24" i="9"/>
  <c r="D23" i="9"/>
  <c r="C23" i="9"/>
  <c r="E22" i="9"/>
  <c r="F22" i="9" s="1"/>
  <c r="E21" i="9"/>
  <c r="F21" i="9" s="1"/>
  <c r="E20" i="9"/>
  <c r="F20" i="9" s="1"/>
  <c r="E19" i="9"/>
  <c r="F19" i="9" s="1"/>
  <c r="F18" i="9"/>
  <c r="E18" i="9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C164" i="8"/>
  <c r="C160" i="8" s="1"/>
  <c r="C166" i="8" s="1"/>
  <c r="E162" i="8"/>
  <c r="D162" i="8"/>
  <c r="C162" i="8"/>
  <c r="E161" i="8"/>
  <c r="D161" i="8"/>
  <c r="C161" i="8"/>
  <c r="D160" i="8"/>
  <c r="E147" i="8"/>
  <c r="E143" i="8" s="1"/>
  <c r="E149" i="8" s="1"/>
  <c r="E136" i="8" s="1"/>
  <c r="D147" i="8"/>
  <c r="D143" i="8" s="1"/>
  <c r="D149" i="8" s="1"/>
  <c r="C147" i="8"/>
  <c r="C143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D109" i="8" s="1"/>
  <c r="D106" i="8" s="1"/>
  <c r="C108" i="8"/>
  <c r="E107" i="8"/>
  <c r="E109" i="8" s="1"/>
  <c r="E106" i="8" s="1"/>
  <c r="D107" i="8"/>
  <c r="C107" i="8"/>
  <c r="E102" i="8"/>
  <c r="E104" i="8" s="1"/>
  <c r="D102" i="8"/>
  <c r="D104" i="8"/>
  <c r="C102" i="8"/>
  <c r="C104" i="8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C84" i="8"/>
  <c r="E83" i="8"/>
  <c r="D83" i="8"/>
  <c r="C83" i="8"/>
  <c r="E75" i="8"/>
  <c r="E88" i="8"/>
  <c r="E90" i="8" s="1"/>
  <c r="E86" i="8" s="1"/>
  <c r="D75" i="8"/>
  <c r="D88" i="8" s="1"/>
  <c r="C75" i="8"/>
  <c r="C88" i="8"/>
  <c r="C90" i="8" s="1"/>
  <c r="C86" i="8" s="1"/>
  <c r="E74" i="8"/>
  <c r="D74" i="8"/>
  <c r="C74" i="8"/>
  <c r="E67" i="8"/>
  <c r="D67" i="8"/>
  <c r="C67" i="8"/>
  <c r="E38" i="8"/>
  <c r="D38" i="8"/>
  <c r="C38" i="8"/>
  <c r="C57" i="8" s="1"/>
  <c r="C62" i="8" s="1"/>
  <c r="E33" i="8"/>
  <c r="E34" i="8"/>
  <c r="D33" i="8"/>
  <c r="D34" i="8" s="1"/>
  <c r="E26" i="8"/>
  <c r="D26" i="8"/>
  <c r="C26" i="8"/>
  <c r="E13" i="8"/>
  <c r="E25" i="8" s="1"/>
  <c r="E27" i="8" s="1"/>
  <c r="D13" i="8"/>
  <c r="D25" i="8"/>
  <c r="C13" i="8"/>
  <c r="C25" i="8" s="1"/>
  <c r="E186" i="7"/>
  <c r="F186" i="7" s="1"/>
  <c r="D183" i="7"/>
  <c r="C183" i="7"/>
  <c r="C188" i="7" s="1"/>
  <c r="E182" i="7"/>
  <c r="F182" i="7" s="1"/>
  <c r="E181" i="7"/>
  <c r="F181" i="7" s="1"/>
  <c r="F180" i="7"/>
  <c r="E180" i="7"/>
  <c r="E179" i="7"/>
  <c r="F179" i="7" s="1"/>
  <c r="F178" i="7"/>
  <c r="E178" i="7"/>
  <c r="F177" i="7"/>
  <c r="E177" i="7"/>
  <c r="F176" i="7"/>
  <c r="E176" i="7"/>
  <c r="E175" i="7"/>
  <c r="F175" i="7" s="1"/>
  <c r="F174" i="7"/>
  <c r="E174" i="7"/>
  <c r="E173" i="7"/>
  <c r="F173" i="7" s="1"/>
  <c r="F172" i="7"/>
  <c r="E172" i="7"/>
  <c r="E171" i="7"/>
  <c r="F171" i="7" s="1"/>
  <c r="E170" i="7"/>
  <c r="F170" i="7" s="1"/>
  <c r="D167" i="7"/>
  <c r="C167" i="7"/>
  <c r="E166" i="7"/>
  <c r="F166" i="7" s="1"/>
  <c r="F165" i="7"/>
  <c r="E165" i="7"/>
  <c r="E164" i="7"/>
  <c r="F164" i="7" s="1"/>
  <c r="F163" i="7"/>
  <c r="E163" i="7"/>
  <c r="F162" i="7"/>
  <c r="E162" i="7"/>
  <c r="E161" i="7"/>
  <c r="F161" i="7" s="1"/>
  <c r="E160" i="7"/>
  <c r="F160" i="7" s="1"/>
  <c r="F159" i="7"/>
  <c r="E159" i="7"/>
  <c r="E158" i="7"/>
  <c r="F158" i="7" s="1"/>
  <c r="E157" i="7"/>
  <c r="F157" i="7" s="1"/>
  <c r="E156" i="7"/>
  <c r="F156" i="7" s="1"/>
  <c r="F155" i="7"/>
  <c r="E155" i="7"/>
  <c r="F154" i="7"/>
  <c r="E154" i="7"/>
  <c r="F153" i="7"/>
  <c r="E153" i="7"/>
  <c r="E152" i="7"/>
  <c r="F152" i="7" s="1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E144" i="7"/>
  <c r="F144" i="7" s="1"/>
  <c r="F143" i="7"/>
  <c r="E143" i="7"/>
  <c r="F142" i="7"/>
  <c r="E142" i="7"/>
  <c r="E141" i="7"/>
  <c r="F141" i="7" s="1"/>
  <c r="F140" i="7"/>
  <c r="E140" i="7"/>
  <c r="F139" i="7"/>
  <c r="E139" i="7"/>
  <c r="F138" i="7"/>
  <c r="E138" i="7"/>
  <c r="E137" i="7"/>
  <c r="F137" i="7" s="1"/>
  <c r="F136" i="7"/>
  <c r="E136" i="7"/>
  <c r="E135" i="7"/>
  <c r="F135" i="7" s="1"/>
  <c r="F134" i="7"/>
  <c r="E134" i="7"/>
  <c r="E133" i="7"/>
  <c r="F133" i="7" s="1"/>
  <c r="D130" i="7"/>
  <c r="C130" i="7"/>
  <c r="F129" i="7"/>
  <c r="E129" i="7"/>
  <c r="E128" i="7"/>
  <c r="F128" i="7" s="1"/>
  <c r="F127" i="7"/>
  <c r="E127" i="7"/>
  <c r="E126" i="7"/>
  <c r="F126" i="7" s="1"/>
  <c r="F125" i="7"/>
  <c r="E125" i="7"/>
  <c r="F124" i="7"/>
  <c r="E124" i="7"/>
  <c r="D121" i="7"/>
  <c r="E121" i="7" s="1"/>
  <c r="F121" i="7" s="1"/>
  <c r="C121" i="7"/>
  <c r="E120" i="7"/>
  <c r="F120" i="7" s="1"/>
  <c r="F119" i="7"/>
  <c r="E119" i="7"/>
  <c r="E118" i="7"/>
  <c r="F118" i="7" s="1"/>
  <c r="F117" i="7"/>
  <c r="E117" i="7"/>
  <c r="E116" i="7"/>
  <c r="F116" i="7" s="1"/>
  <c r="F115" i="7"/>
  <c r="E115" i="7"/>
  <c r="E114" i="7"/>
  <c r="F114" i="7" s="1"/>
  <c r="F113" i="7"/>
  <c r="E113" i="7"/>
  <c r="E112" i="7"/>
  <c r="F112" i="7" s="1"/>
  <c r="F111" i="7"/>
  <c r="E111" i="7"/>
  <c r="E110" i="7"/>
  <c r="F110" i="7" s="1"/>
  <c r="F109" i="7"/>
  <c r="E109" i="7"/>
  <c r="E108" i="7"/>
  <c r="F108" i="7" s="1"/>
  <c r="F107" i="7"/>
  <c r="E107" i="7"/>
  <c r="F106" i="7"/>
  <c r="E106" i="7"/>
  <c r="F105" i="7"/>
  <c r="E105" i="7"/>
  <c r="E104" i="7"/>
  <c r="F104" i="7" s="1"/>
  <c r="F103" i="7"/>
  <c r="E103" i="7"/>
  <c r="F93" i="7"/>
  <c r="E93" i="7"/>
  <c r="D90" i="7"/>
  <c r="C90" i="7"/>
  <c r="E89" i="7"/>
  <c r="F89" i="7" s="1"/>
  <c r="F88" i="7"/>
  <c r="E88" i="7"/>
  <c r="E87" i="7"/>
  <c r="F87" i="7" s="1"/>
  <c r="E86" i="7"/>
  <c r="F86" i="7" s="1"/>
  <c r="F85" i="7"/>
  <c r="E85" i="7"/>
  <c r="E84" i="7"/>
  <c r="F84" i="7" s="1"/>
  <c r="E83" i="7"/>
  <c r="F83" i="7" s="1"/>
  <c r="E82" i="7"/>
  <c r="F82" i="7" s="1"/>
  <c r="E81" i="7"/>
  <c r="F81" i="7" s="1"/>
  <c r="E80" i="7"/>
  <c r="F80" i="7" s="1"/>
  <c r="F79" i="7"/>
  <c r="E79" i="7"/>
  <c r="E78" i="7"/>
  <c r="F78" i="7" s="1"/>
  <c r="F77" i="7"/>
  <c r="E77" i="7"/>
  <c r="F76" i="7"/>
  <c r="E76" i="7"/>
  <c r="E75" i="7"/>
  <c r="F75" i="7" s="1"/>
  <c r="E74" i="7"/>
  <c r="F74" i="7" s="1"/>
  <c r="E73" i="7"/>
  <c r="F73" i="7" s="1"/>
  <c r="F72" i="7"/>
  <c r="E72" i="7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F65" i="7"/>
  <c r="E65" i="7"/>
  <c r="E64" i="7"/>
  <c r="F64" i="7" s="1"/>
  <c r="E63" i="7"/>
  <c r="F63" i="7" s="1"/>
  <c r="E62" i="7"/>
  <c r="F62" i="7" s="1"/>
  <c r="D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E40" i="7"/>
  <c r="F40" i="7" s="1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E29" i="7"/>
  <c r="F29" i="7" s="1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C18" i="7"/>
  <c r="E17" i="7"/>
  <c r="F17" i="7" s="1"/>
  <c r="E16" i="7"/>
  <c r="F16" i="7" s="1"/>
  <c r="E15" i="7"/>
  <c r="F15" i="7" s="1"/>
  <c r="D179" i="6"/>
  <c r="E179" i="6" s="1"/>
  <c r="F179" i="6" s="1"/>
  <c r="C179" i="6"/>
  <c r="F178" i="6"/>
  <c r="E178" i="6"/>
  <c r="F177" i="6"/>
  <c r="E177" i="6"/>
  <c r="E176" i="6"/>
  <c r="F176" i="6" s="1"/>
  <c r="F175" i="6"/>
  <c r="E175" i="6"/>
  <c r="E174" i="6"/>
  <c r="F174" i="6" s="1"/>
  <c r="E173" i="6"/>
  <c r="F173" i="6" s="1"/>
  <c r="E172" i="6"/>
  <c r="F172" i="6" s="1"/>
  <c r="F171" i="6"/>
  <c r="E171" i="6"/>
  <c r="F170" i="6"/>
  <c r="E170" i="6"/>
  <c r="E169" i="6"/>
  <c r="F169" i="6" s="1"/>
  <c r="E168" i="6"/>
  <c r="F168" i="6" s="1"/>
  <c r="D166" i="6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F155" i="6"/>
  <c r="E155" i="6"/>
  <c r="D153" i="6"/>
  <c r="C153" i="6"/>
  <c r="F152" i="6"/>
  <c r="E152" i="6"/>
  <c r="F151" i="6"/>
  <c r="E151" i="6"/>
  <c r="E150" i="6"/>
  <c r="F150" i="6" s="1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F143" i="6"/>
  <c r="E143" i="6"/>
  <c r="E142" i="6"/>
  <c r="F142" i="6" s="1"/>
  <c r="D137" i="6"/>
  <c r="C137" i="6"/>
  <c r="F136" i="6"/>
  <c r="E136" i="6"/>
  <c r="F135" i="6"/>
  <c r="E135" i="6"/>
  <c r="E134" i="6"/>
  <c r="F134" i="6" s="1"/>
  <c r="E133" i="6"/>
  <c r="F133" i="6" s="1"/>
  <c r="E132" i="6"/>
  <c r="F132" i="6" s="1"/>
  <c r="F131" i="6"/>
  <c r="E131" i="6"/>
  <c r="E130" i="6"/>
  <c r="F130" i="6" s="1"/>
  <c r="F129" i="6"/>
  <c r="E129" i="6"/>
  <c r="F128" i="6"/>
  <c r="E128" i="6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F120" i="6"/>
  <c r="E120" i="6"/>
  <c r="E119" i="6"/>
  <c r="F119" i="6" s="1"/>
  <c r="E118" i="6"/>
  <c r="F118" i="6" s="1"/>
  <c r="E117" i="6"/>
  <c r="F117" i="6" s="1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E108" i="6"/>
  <c r="F108" i="6" s="1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E100" i="6"/>
  <c r="F100" i="6" s="1"/>
  <c r="F94" i="6"/>
  <c r="D94" i="6"/>
  <c r="E94" i="6" s="1"/>
  <c r="C94" i="6"/>
  <c r="D93" i="6"/>
  <c r="C93" i="6"/>
  <c r="F93" i="6" s="1"/>
  <c r="D92" i="6"/>
  <c r="E92" i="6" s="1"/>
  <c r="C92" i="6"/>
  <c r="D91" i="6"/>
  <c r="E91" i="6"/>
  <c r="F91" i="6"/>
  <c r="C91" i="6"/>
  <c r="D90" i="6"/>
  <c r="C90" i="6"/>
  <c r="E90" i="6" s="1"/>
  <c r="D89" i="6"/>
  <c r="C89" i="6"/>
  <c r="D88" i="6"/>
  <c r="E88" i="6" s="1"/>
  <c r="C88" i="6"/>
  <c r="D87" i="6"/>
  <c r="C87" i="6"/>
  <c r="F87" i="6" s="1"/>
  <c r="D86" i="6"/>
  <c r="C86" i="6"/>
  <c r="E86" i="6" s="1"/>
  <c r="D85" i="6"/>
  <c r="C85" i="6"/>
  <c r="D84" i="6"/>
  <c r="C84" i="6"/>
  <c r="D81" i="6"/>
  <c r="E81" i="6"/>
  <c r="C81" i="6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F73" i="6"/>
  <c r="E73" i="6"/>
  <c r="E72" i="6"/>
  <c r="F72" i="6" s="1"/>
  <c r="E71" i="6"/>
  <c r="F71" i="6" s="1"/>
  <c r="E70" i="6"/>
  <c r="F70" i="6" s="1"/>
  <c r="D68" i="6"/>
  <c r="E68" i="6" s="1"/>
  <c r="F68" i="6" s="1"/>
  <c r="C68" i="6"/>
  <c r="F67" i="6"/>
  <c r="E67" i="6"/>
  <c r="F66" i="6"/>
  <c r="E66" i="6"/>
  <c r="F65" i="6"/>
  <c r="E65" i="6"/>
  <c r="F64" i="6"/>
  <c r="E64" i="6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F51" i="6"/>
  <c r="D51" i="6"/>
  <c r="C51" i="6"/>
  <c r="D50" i="6"/>
  <c r="E50" i="6"/>
  <c r="C50" i="6"/>
  <c r="F50" i="6" s="1"/>
  <c r="D49" i="6"/>
  <c r="C49" i="6"/>
  <c r="E49" i="6" s="1"/>
  <c r="D48" i="6"/>
  <c r="C48" i="6"/>
  <c r="D47" i="6"/>
  <c r="E47" i="6" s="1"/>
  <c r="C47" i="6"/>
  <c r="D46" i="6"/>
  <c r="E46" i="6"/>
  <c r="F46" i="6" s="1"/>
  <c r="C46" i="6"/>
  <c r="D45" i="6"/>
  <c r="E45" i="6" s="1"/>
  <c r="C45" i="6"/>
  <c r="D44" i="6"/>
  <c r="C44" i="6"/>
  <c r="D43" i="6"/>
  <c r="C43" i="6"/>
  <c r="D42" i="6"/>
  <c r="C42" i="6"/>
  <c r="D41" i="6"/>
  <c r="E41" i="6" s="1"/>
  <c r="F41" i="6" s="1"/>
  <c r="C41" i="6"/>
  <c r="D38" i="6"/>
  <c r="C38" i="6"/>
  <c r="F37" i="6"/>
  <c r="E37" i="6"/>
  <c r="F36" i="6"/>
  <c r="E36" i="6"/>
  <c r="F35" i="6"/>
  <c r="E35" i="6"/>
  <c r="E34" i="6"/>
  <c r="F34" i="6" s="1"/>
  <c r="E33" i="6"/>
  <c r="F33" i="6" s="1"/>
  <c r="F32" i="6"/>
  <c r="E32" i="6"/>
  <c r="E31" i="6"/>
  <c r="F31" i="6" s="1"/>
  <c r="F30" i="6"/>
  <c r="E30" i="6"/>
  <c r="E29" i="6"/>
  <c r="F29" i="6" s="1"/>
  <c r="F28" i="6"/>
  <c r="E28" i="6"/>
  <c r="E27" i="6"/>
  <c r="F27" i="6" s="1"/>
  <c r="D25" i="6"/>
  <c r="E25" i="6" s="1"/>
  <c r="F25" i="6" s="1"/>
  <c r="C25" i="6"/>
  <c r="F24" i="6"/>
  <c r="E24" i="6"/>
  <c r="F23" i="6"/>
  <c r="E23" i="6"/>
  <c r="E22" i="6"/>
  <c r="F22" i="6" s="1"/>
  <c r="F21" i="6"/>
  <c r="E21" i="6"/>
  <c r="E20" i="6"/>
  <c r="F20" i="6" s="1"/>
  <c r="F19" i="6"/>
  <c r="E19" i="6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C48" i="5"/>
  <c r="F48" i="5" s="1"/>
  <c r="F47" i="5"/>
  <c r="E47" i="5"/>
  <c r="F46" i="5"/>
  <c r="E46" i="5"/>
  <c r="D41" i="5"/>
  <c r="C41" i="5"/>
  <c r="F40" i="5"/>
  <c r="E40" i="5"/>
  <c r="F39" i="5"/>
  <c r="E39" i="5"/>
  <c r="E38" i="5"/>
  <c r="F38" i="5" s="1"/>
  <c r="D33" i="5"/>
  <c r="C33" i="5"/>
  <c r="F32" i="5"/>
  <c r="E32" i="5"/>
  <c r="E31" i="5"/>
  <c r="F31" i="5" s="1"/>
  <c r="E30" i="5"/>
  <c r="F30" i="5" s="1"/>
  <c r="F29" i="5"/>
  <c r="E29" i="5"/>
  <c r="F28" i="5"/>
  <c r="E28" i="5"/>
  <c r="E27" i="5"/>
  <c r="F27" i="5" s="1"/>
  <c r="E26" i="5"/>
  <c r="F26" i="5" s="1"/>
  <c r="F25" i="5"/>
  <c r="E25" i="5"/>
  <c r="F24" i="5"/>
  <c r="E24" i="5"/>
  <c r="F20" i="5"/>
  <c r="E20" i="5"/>
  <c r="E19" i="5"/>
  <c r="F19" i="5" s="1"/>
  <c r="E17" i="5"/>
  <c r="F17" i="5" s="1"/>
  <c r="D16" i="5"/>
  <c r="C16" i="5"/>
  <c r="C18" i="5"/>
  <c r="C21" i="5" s="1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C61" i="4"/>
  <c r="F60" i="4"/>
  <c r="E60" i="4"/>
  <c r="E59" i="4"/>
  <c r="F59" i="4" s="1"/>
  <c r="D56" i="4"/>
  <c r="E56" i="4"/>
  <c r="F56" i="4" s="1"/>
  <c r="C56" i="4"/>
  <c r="E55" i="4"/>
  <c r="F55" i="4" s="1"/>
  <c r="E54" i="4"/>
  <c r="F54" i="4"/>
  <c r="E53" i="4"/>
  <c r="F53" i="4" s="1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C38" i="4"/>
  <c r="E37" i="4"/>
  <c r="F37" i="4" s="1"/>
  <c r="F36" i="4"/>
  <c r="E36" i="4"/>
  <c r="E33" i="4"/>
  <c r="F33" i="4" s="1"/>
  <c r="E32" i="4"/>
  <c r="F32" i="4" s="1"/>
  <c r="E31" i="4"/>
  <c r="F31" i="4" s="1"/>
  <c r="D29" i="4"/>
  <c r="C29" i="4"/>
  <c r="F28" i="4"/>
  <c r="E28" i="4"/>
  <c r="F27" i="4"/>
  <c r="E27" i="4"/>
  <c r="F26" i="4"/>
  <c r="E26" i="4"/>
  <c r="F25" i="4"/>
  <c r="E25" i="4"/>
  <c r="D22" i="4"/>
  <c r="D43" i="4" s="1"/>
  <c r="C22" i="4"/>
  <c r="E21" i="4"/>
  <c r="F21" i="4" s="1"/>
  <c r="E20" i="4"/>
  <c r="F20" i="4" s="1"/>
  <c r="E19" i="4"/>
  <c r="F19" i="4" s="1"/>
  <c r="F18" i="4"/>
  <c r="E18" i="4"/>
  <c r="F17" i="4"/>
  <c r="E17" i="4"/>
  <c r="E16" i="4"/>
  <c r="F16" i="4" s="1"/>
  <c r="E15" i="4"/>
  <c r="F15" i="4" s="1"/>
  <c r="F14" i="4"/>
  <c r="E14" i="4"/>
  <c r="E13" i="4"/>
  <c r="F13" i="4" s="1"/>
  <c r="D22" i="22"/>
  <c r="E30" i="22"/>
  <c r="D33" i="22"/>
  <c r="E34" i="22"/>
  <c r="E36" i="22"/>
  <c r="E40" i="22"/>
  <c r="E46" i="22"/>
  <c r="E54" i="22"/>
  <c r="D101" i="22"/>
  <c r="C102" i="22"/>
  <c r="C103" i="22"/>
  <c r="E22" i="22"/>
  <c r="D23" i="22"/>
  <c r="F45" i="20"/>
  <c r="E39" i="20"/>
  <c r="E129" i="17"/>
  <c r="F129" i="17" s="1"/>
  <c r="E145" i="17"/>
  <c r="F145" i="17" s="1"/>
  <c r="E164" i="17"/>
  <c r="C22" i="19"/>
  <c r="C76" i="18"/>
  <c r="C77" i="18" s="1"/>
  <c r="C33" i="18"/>
  <c r="E32" i="18"/>
  <c r="E36" i="18"/>
  <c r="E54" i="18"/>
  <c r="C289" i="18"/>
  <c r="C71" i="18"/>
  <c r="E60" i="18"/>
  <c r="E70" i="18"/>
  <c r="E65" i="18"/>
  <c r="D157" i="18"/>
  <c r="E297" i="17"/>
  <c r="F297" i="17" s="1"/>
  <c r="E298" i="17"/>
  <c r="C144" i="18"/>
  <c r="D145" i="18"/>
  <c r="E151" i="18"/>
  <c r="C175" i="18"/>
  <c r="C261" i="18"/>
  <c r="D260" i="18"/>
  <c r="D217" i="18"/>
  <c r="E233" i="18"/>
  <c r="D239" i="18"/>
  <c r="D243" i="18"/>
  <c r="E139" i="18"/>
  <c r="C211" i="18"/>
  <c r="C235" i="18"/>
  <c r="E218" i="18"/>
  <c r="C229" i="18"/>
  <c r="D320" i="18"/>
  <c r="D330" i="18"/>
  <c r="D222" i="18"/>
  <c r="D223" i="18" s="1"/>
  <c r="E314" i="18"/>
  <c r="E324" i="18"/>
  <c r="C37" i="17"/>
  <c r="D48" i="17"/>
  <c r="D60" i="17"/>
  <c r="D61" i="17" s="1"/>
  <c r="D138" i="17"/>
  <c r="D21" i="17"/>
  <c r="E95" i="17"/>
  <c r="F95" i="17" s="1"/>
  <c r="C207" i="17"/>
  <c r="C208" i="17" s="1"/>
  <c r="F172" i="17"/>
  <c r="F155" i="17"/>
  <c r="F158" i="17"/>
  <c r="F170" i="17"/>
  <c r="F171" i="17"/>
  <c r="F179" i="17"/>
  <c r="F180" i="17"/>
  <c r="D277" i="17"/>
  <c r="D261" i="17"/>
  <c r="D278" i="17"/>
  <c r="D279" i="17" s="1"/>
  <c r="D262" i="17"/>
  <c r="D190" i="17"/>
  <c r="D280" i="17"/>
  <c r="D264" i="17"/>
  <c r="C283" i="17"/>
  <c r="C267" i="17"/>
  <c r="E203" i="17"/>
  <c r="F203" i="17"/>
  <c r="C205" i="17"/>
  <c r="C206" i="17"/>
  <c r="E223" i="17"/>
  <c r="F223" i="17" s="1"/>
  <c r="E136" i="17"/>
  <c r="F136" i="17" s="1"/>
  <c r="E144" i="17"/>
  <c r="F144" i="17"/>
  <c r="E179" i="17"/>
  <c r="C277" i="17"/>
  <c r="C261" i="17"/>
  <c r="C254" i="17"/>
  <c r="E188" i="17"/>
  <c r="F188" i="17"/>
  <c r="C192" i="17"/>
  <c r="C274" i="17"/>
  <c r="C285" i="17"/>
  <c r="C269" i="17"/>
  <c r="E204" i="17"/>
  <c r="F204" i="17"/>
  <c r="F237" i="17"/>
  <c r="C239" i="17"/>
  <c r="D290" i="17"/>
  <c r="D269" i="17"/>
  <c r="F294" i="17"/>
  <c r="F298" i="17"/>
  <c r="F36" i="14"/>
  <c r="F38" i="14"/>
  <c r="F40" i="14" s="1"/>
  <c r="I31" i="14"/>
  <c r="I17" i="14"/>
  <c r="D31" i="14"/>
  <c r="F31" i="14"/>
  <c r="C33" i="14"/>
  <c r="C36" i="14"/>
  <c r="C38" i="14" s="1"/>
  <c r="C40" i="14" s="1"/>
  <c r="E33" i="14"/>
  <c r="E36" i="14" s="1"/>
  <c r="E38" i="14" s="1"/>
  <c r="E40" i="14" s="1"/>
  <c r="H17" i="14"/>
  <c r="E17" i="13"/>
  <c r="E28" i="13"/>
  <c r="E70" i="13" s="1"/>
  <c r="E72" i="13" s="1"/>
  <c r="D48" i="13"/>
  <c r="D42" i="13" s="1"/>
  <c r="D20" i="12"/>
  <c r="D34" i="12" s="1"/>
  <c r="E38" i="11"/>
  <c r="F38" i="11" s="1"/>
  <c r="E112" i="10"/>
  <c r="C121" i="10"/>
  <c r="F121" i="10" s="1"/>
  <c r="F202" i="9"/>
  <c r="E199" i="9"/>
  <c r="F199" i="9"/>
  <c r="C208" i="9"/>
  <c r="E140" i="8"/>
  <c r="E138" i="8"/>
  <c r="E139" i="8"/>
  <c r="D139" i="8"/>
  <c r="D137" i="8"/>
  <c r="D15" i="8"/>
  <c r="D24" i="8" s="1"/>
  <c r="C43" i="8"/>
  <c r="C53" i="8"/>
  <c r="D77" i="8"/>
  <c r="C15" i="8"/>
  <c r="C24" i="8" s="1"/>
  <c r="E15" i="8"/>
  <c r="D43" i="8"/>
  <c r="C49" i="8"/>
  <c r="C77" i="8"/>
  <c r="C71" i="8" s="1"/>
  <c r="E77" i="8"/>
  <c r="E71" i="8" s="1"/>
  <c r="E90" i="7"/>
  <c r="F90" i="7"/>
  <c r="E183" i="7"/>
  <c r="F183" i="7" s="1"/>
  <c r="D41" i="4"/>
  <c r="D65" i="4"/>
  <c r="D54" i="22"/>
  <c r="D46" i="22"/>
  <c r="D40" i="22"/>
  <c r="D36" i="22"/>
  <c r="D30" i="22"/>
  <c r="D113" i="22" s="1"/>
  <c r="E56" i="22"/>
  <c r="E48" i="22"/>
  <c r="E38" i="22"/>
  <c r="D110" i="22"/>
  <c r="D53" i="22"/>
  <c r="D45" i="22"/>
  <c r="D39" i="22"/>
  <c r="D35" i="22"/>
  <c r="D29" i="22"/>
  <c r="D37" i="22" s="1"/>
  <c r="E35" i="22"/>
  <c r="D258" i="18"/>
  <c r="D99" i="18"/>
  <c r="D97" i="18"/>
  <c r="D95" i="18"/>
  <c r="D96" i="18"/>
  <c r="D87" i="18"/>
  <c r="D85" i="18"/>
  <c r="D241" i="18"/>
  <c r="C294" i="18"/>
  <c r="C286" i="17"/>
  <c r="H33" i="14"/>
  <c r="H36" i="14" s="1"/>
  <c r="H38" i="14" s="1"/>
  <c r="H40" i="14" s="1"/>
  <c r="E24" i="8"/>
  <c r="E17" i="8"/>
  <c r="E28" i="8" s="1"/>
  <c r="E99" i="8" s="1"/>
  <c r="E101" i="8" s="1"/>
  <c r="C17" i="8"/>
  <c r="C112" i="8" s="1"/>
  <c r="C111" i="8" s="1"/>
  <c r="C35" i="5"/>
  <c r="C43" i="5" s="1"/>
  <c r="C50" i="5" s="1"/>
  <c r="E112" i="8"/>
  <c r="E111" i="8" s="1"/>
  <c r="C29" i="22" l="1"/>
  <c r="C53" i="22"/>
  <c r="C39" i="22"/>
  <c r="C35" i="22"/>
  <c r="C45" i="22"/>
  <c r="C266" i="17"/>
  <c r="F295" i="17"/>
  <c r="D42" i="12"/>
  <c r="F85" i="6"/>
  <c r="D172" i="17"/>
  <c r="E171" i="17"/>
  <c r="F49" i="9"/>
  <c r="D246" i="18"/>
  <c r="G33" i="14"/>
  <c r="F41" i="5"/>
  <c r="E31" i="17"/>
  <c r="F31" i="17" s="1"/>
  <c r="D32" i="17"/>
  <c r="C60" i="17"/>
  <c r="E59" i="17"/>
  <c r="F59" i="17"/>
  <c r="E110" i="17"/>
  <c r="F110" i="17" s="1"/>
  <c r="D111" i="17"/>
  <c r="C193" i="17"/>
  <c r="C194" i="17" s="1"/>
  <c r="C195" i="17" s="1"/>
  <c r="C124" i="17"/>
  <c r="C125" i="17" s="1"/>
  <c r="C302" i="18"/>
  <c r="E265" i="18"/>
  <c r="E16" i="20"/>
  <c r="F16" i="20" s="1"/>
  <c r="C270" i="17"/>
  <c r="C222" i="18"/>
  <c r="D261" i="18"/>
  <c r="E261" i="18" s="1"/>
  <c r="D189" i="18"/>
  <c r="E189" i="18" s="1"/>
  <c r="E188" i="18"/>
  <c r="E77" i="22"/>
  <c r="C88" i="22"/>
  <c r="D93" i="22"/>
  <c r="E109" i="17"/>
  <c r="F109" i="17" s="1"/>
  <c r="C111" i="17"/>
  <c r="E83" i="10"/>
  <c r="F83" i="10"/>
  <c r="D75" i="11"/>
  <c r="E75" i="11" s="1"/>
  <c r="E56" i="11"/>
  <c r="F56" i="11" s="1"/>
  <c r="E277" i="17"/>
  <c r="F277" i="17" s="1"/>
  <c r="C125" i="18"/>
  <c r="C123" i="18"/>
  <c r="E299" i="17"/>
  <c r="F299" i="17" s="1"/>
  <c r="E40" i="20"/>
  <c r="F40" i="20" s="1"/>
  <c r="D41" i="20"/>
  <c r="C21" i="17"/>
  <c r="E20" i="17"/>
  <c r="F20" i="17" s="1"/>
  <c r="C22" i="18"/>
  <c r="C284" i="18" s="1"/>
  <c r="C283" i="18"/>
  <c r="E19" i="20"/>
  <c r="F19" i="20" s="1"/>
  <c r="C20" i="20"/>
  <c r="C41" i="20"/>
  <c r="C28" i="8"/>
  <c r="C99" i="8" s="1"/>
  <c r="C101" i="8" s="1"/>
  <c r="C98" i="8" s="1"/>
  <c r="E20" i="8"/>
  <c r="E22" i="8"/>
  <c r="E21" i="8"/>
  <c r="F206" i="9"/>
  <c r="D37" i="17"/>
  <c r="E37" i="17" s="1"/>
  <c r="F37" i="17" s="1"/>
  <c r="E35" i="17"/>
  <c r="F35" i="17" s="1"/>
  <c r="E66" i="17"/>
  <c r="F66" i="17" s="1"/>
  <c r="E137" i="17"/>
  <c r="F137" i="17" s="1"/>
  <c r="C138" i="17"/>
  <c r="D239" i="17"/>
  <c r="E239" i="17" s="1"/>
  <c r="F239" i="17" s="1"/>
  <c r="E238" i="17"/>
  <c r="F238" i="17" s="1"/>
  <c r="E21" i="18"/>
  <c r="D283" i="18"/>
  <c r="E283" i="18" s="1"/>
  <c r="D22" i="18"/>
  <c r="E173" i="18"/>
  <c r="E89" i="6"/>
  <c r="F89" i="6" s="1"/>
  <c r="F35" i="10"/>
  <c r="E35" i="10"/>
  <c r="E20" i="12"/>
  <c r="F20" i="12" s="1"/>
  <c r="C278" i="17"/>
  <c r="C262" i="17"/>
  <c r="C263" i="17" s="1"/>
  <c r="C255" i="17"/>
  <c r="C23" i="22"/>
  <c r="C34" i="22"/>
  <c r="C33" i="22"/>
  <c r="D17" i="8"/>
  <c r="E261" i="17"/>
  <c r="E85" i="6"/>
  <c r="C15" i="13"/>
  <c r="C25" i="13"/>
  <c r="C27" i="13" s="1"/>
  <c r="D159" i="17"/>
  <c r="E158" i="17"/>
  <c r="E189" i="17"/>
  <c r="F189" i="17" s="1"/>
  <c r="D252" i="18"/>
  <c r="E252" i="18" s="1"/>
  <c r="E243" i="18"/>
  <c r="C31" i="17"/>
  <c r="C32" i="17" s="1"/>
  <c r="C105" i="17" s="1"/>
  <c r="E30" i="17"/>
  <c r="F30" i="17" s="1"/>
  <c r="F39" i="20"/>
  <c r="C34" i="12"/>
  <c r="E15" i="12"/>
  <c r="F15" i="12" s="1"/>
  <c r="D272" i="17"/>
  <c r="E272" i="17" s="1"/>
  <c r="E269" i="17"/>
  <c r="F269" i="17" s="1"/>
  <c r="E47" i="10"/>
  <c r="F47" i="10"/>
  <c r="F116" i="10"/>
  <c r="E116" i="10"/>
  <c r="D283" i="17"/>
  <c r="D287" i="17" s="1"/>
  <c r="D267" i="17"/>
  <c r="D205" i="17"/>
  <c r="E205" i="17" s="1"/>
  <c r="E42" i="6"/>
  <c r="E206" i="9"/>
  <c r="E40" i="12"/>
  <c r="F40" i="12" s="1"/>
  <c r="F23" i="15"/>
  <c r="E44" i="17"/>
  <c r="F44" i="17" s="1"/>
  <c r="D215" i="17"/>
  <c r="D255" i="17" s="1"/>
  <c r="E255" i="17" s="1"/>
  <c r="F255" i="17" s="1"/>
  <c r="D285" i="17"/>
  <c r="D288" i="17" s="1"/>
  <c r="D33" i="18"/>
  <c r="D295" i="18" s="1"/>
  <c r="D294" i="18"/>
  <c r="E294" i="18" s="1"/>
  <c r="E72" i="18"/>
  <c r="C239" i="18"/>
  <c r="E215" i="18"/>
  <c r="E61" i="11"/>
  <c r="F61" i="11" s="1"/>
  <c r="D15" i="13"/>
  <c r="E239" i="18"/>
  <c r="E124" i="6"/>
  <c r="F124" i="6" s="1"/>
  <c r="D90" i="8"/>
  <c r="E79" i="8"/>
  <c r="E62" i="9"/>
  <c r="E88" i="9"/>
  <c r="E203" i="9"/>
  <c r="F203" i="9" s="1"/>
  <c r="D122" i="10"/>
  <c r="D61" i="13"/>
  <c r="D57" i="13" s="1"/>
  <c r="D102" i="17"/>
  <c r="E101" i="17"/>
  <c r="F101" i="17" s="1"/>
  <c r="D200" i="17"/>
  <c r="E39" i="18"/>
  <c r="E55" i="18"/>
  <c r="E174" i="18"/>
  <c r="E287" i="18"/>
  <c r="C37" i="19"/>
  <c r="C38" i="19" s="1"/>
  <c r="C127" i="19" s="1"/>
  <c r="C129" i="19" s="1"/>
  <c r="C133" i="19" s="1"/>
  <c r="D46" i="20"/>
  <c r="E43" i="20"/>
  <c r="F19" i="21"/>
  <c r="E101" i="22"/>
  <c r="E103" i="22" s="1"/>
  <c r="D98" i="22"/>
  <c r="E49" i="9"/>
  <c r="E165" i="17"/>
  <c r="F165" i="17"/>
  <c r="D229" i="18"/>
  <c r="E229" i="18" s="1"/>
  <c r="E205" i="18"/>
  <c r="D240" i="18"/>
  <c r="E216" i="18"/>
  <c r="E135" i="8"/>
  <c r="F107" i="15"/>
  <c r="E33" i="5"/>
  <c r="F33" i="5" s="1"/>
  <c r="E41" i="5"/>
  <c r="D27" i="8"/>
  <c r="D21" i="8" s="1"/>
  <c r="E193" i="9"/>
  <c r="F193" i="9" s="1"/>
  <c r="E23" i="10"/>
  <c r="E60" i="10"/>
  <c r="F23" i="17"/>
  <c r="F47" i="17"/>
  <c r="E66" i="18"/>
  <c r="E69" i="18"/>
  <c r="E260" i="18"/>
  <c r="C217" i="18"/>
  <c r="C242" i="18"/>
  <c r="E242" i="18" s="1"/>
  <c r="E221" i="18"/>
  <c r="C109" i="8"/>
  <c r="C106" i="8" s="1"/>
  <c r="E166" i="9"/>
  <c r="E72" i="10"/>
  <c r="C80" i="13"/>
  <c r="C77" i="13" s="1"/>
  <c r="C252" i="18"/>
  <c r="E231" i="18"/>
  <c r="E44" i="20"/>
  <c r="F44" i="20" s="1"/>
  <c r="E137" i="8"/>
  <c r="E48" i="6"/>
  <c r="F48" i="6" s="1"/>
  <c r="E153" i="6"/>
  <c r="F153" i="6" s="1"/>
  <c r="D79" i="8"/>
  <c r="E153" i="9"/>
  <c r="E47" i="17"/>
  <c r="D214" i="17"/>
  <c r="D206" i="17"/>
  <c r="E206" i="17" s="1"/>
  <c r="F206" i="17" s="1"/>
  <c r="E41" i="18"/>
  <c r="D289" i="18"/>
  <c r="E289" i="18" s="1"/>
  <c r="D71" i="18"/>
  <c r="D76" i="18" s="1"/>
  <c r="E195" i="18"/>
  <c r="E290" i="18"/>
  <c r="F29" i="4"/>
  <c r="F47" i="6"/>
  <c r="F88" i="6"/>
  <c r="E24" i="7"/>
  <c r="F24" i="7" s="1"/>
  <c r="E130" i="7"/>
  <c r="F130" i="7" s="1"/>
  <c r="D71" i="8"/>
  <c r="D166" i="8"/>
  <c r="E63" i="9"/>
  <c r="E128" i="9"/>
  <c r="F128" i="9" s="1"/>
  <c r="E59" i="10"/>
  <c r="E100" i="15"/>
  <c r="C181" i="17"/>
  <c r="F181" i="17" s="1"/>
  <c r="C215" i="17"/>
  <c r="E215" i="17" s="1"/>
  <c r="F215" i="17" s="1"/>
  <c r="E229" i="17"/>
  <c r="F229" i="17" s="1"/>
  <c r="E295" i="17"/>
  <c r="D175" i="18"/>
  <c r="E175" i="18" s="1"/>
  <c r="E179" i="18"/>
  <c r="E219" i="18"/>
  <c r="C65" i="19"/>
  <c r="C114" i="19" s="1"/>
  <c r="C116" i="19" s="1"/>
  <c r="C119" i="19" s="1"/>
  <c r="C123" i="19" s="1"/>
  <c r="E20" i="20"/>
  <c r="F20" i="20" s="1"/>
  <c r="C46" i="20"/>
  <c r="E29" i="4"/>
  <c r="E166" i="8"/>
  <c r="E23" i="15"/>
  <c r="E65" i="15"/>
  <c r="F65" i="15" s="1"/>
  <c r="E36" i="17"/>
  <c r="E52" i="17"/>
  <c r="F52" i="17" s="1"/>
  <c r="C43" i="18"/>
  <c r="E162" i="18"/>
  <c r="E25" i="20"/>
  <c r="F25" i="20" s="1"/>
  <c r="E36" i="20"/>
  <c r="D102" i="22"/>
  <c r="D103" i="22" s="1"/>
  <c r="E51" i="6"/>
  <c r="E30" i="7"/>
  <c r="F30" i="7" s="1"/>
  <c r="E59" i="7"/>
  <c r="F59" i="7" s="1"/>
  <c r="C27" i="8"/>
  <c r="C21" i="8" s="1"/>
  <c r="C79" i="8"/>
  <c r="E37" i="9"/>
  <c r="D43" i="11"/>
  <c r="D27" i="13"/>
  <c r="C61" i="13"/>
  <c r="C57" i="13" s="1"/>
  <c r="E70" i="15"/>
  <c r="F70" i="15" s="1"/>
  <c r="E24" i="17"/>
  <c r="F24" i="17" s="1"/>
  <c r="E85" i="17"/>
  <c r="E38" i="18"/>
  <c r="E73" i="18"/>
  <c r="E262" i="18"/>
  <c r="E277" i="18"/>
  <c r="E288" i="18"/>
  <c r="E21" i="21"/>
  <c r="F21" i="21" s="1"/>
  <c r="E43" i="8"/>
  <c r="E57" i="8"/>
  <c r="E62" i="8" s="1"/>
  <c r="E53" i="8"/>
  <c r="E49" i="8"/>
  <c r="D103" i="18"/>
  <c r="D38" i="22"/>
  <c r="D56" i="22"/>
  <c r="D48" i="22"/>
  <c r="E29" i="22"/>
  <c r="E53" i="22"/>
  <c r="E45" i="22"/>
  <c r="E43" i="6"/>
  <c r="F43" i="6" s="1"/>
  <c r="D52" i="6"/>
  <c r="E87" i="6"/>
  <c r="E39" i="22"/>
  <c r="D254" i="17"/>
  <c r="E214" i="17"/>
  <c r="F214" i="17" s="1"/>
  <c r="D216" i="17"/>
  <c r="C124" i="18"/>
  <c r="C113" i="18"/>
  <c r="C127" i="18"/>
  <c r="C110" i="18"/>
  <c r="C109" i="18"/>
  <c r="C121" i="18"/>
  <c r="C111" i="18"/>
  <c r="C112" i="18"/>
  <c r="C122" i="18"/>
  <c r="C128" i="18" s="1"/>
  <c r="C114" i="18"/>
  <c r="C126" i="18"/>
  <c r="E73" i="4"/>
  <c r="D75" i="4"/>
  <c r="E16" i="5"/>
  <c r="F16" i="5" s="1"/>
  <c r="D18" i="5"/>
  <c r="F44" i="6"/>
  <c r="E44" i="6"/>
  <c r="C43" i="11"/>
  <c r="E22" i="11"/>
  <c r="F22" i="11"/>
  <c r="D124" i="17"/>
  <c r="E123" i="17"/>
  <c r="F123" i="17" s="1"/>
  <c r="D192" i="17"/>
  <c r="C330" i="18"/>
  <c r="E326" i="18"/>
  <c r="F43" i="20"/>
  <c r="D95" i="6"/>
  <c r="E95" i="6" s="1"/>
  <c r="E84" i="6"/>
  <c r="F84" i="6" s="1"/>
  <c r="E166" i="6"/>
  <c r="F166" i="6" s="1"/>
  <c r="D103" i="17"/>
  <c r="E102" i="17"/>
  <c r="F102" i="17" s="1"/>
  <c r="C200" i="17"/>
  <c r="C280" i="17"/>
  <c r="D135" i="8"/>
  <c r="D140" i="8"/>
  <c r="D136" i="8"/>
  <c r="D138" i="8"/>
  <c r="F113" i="10"/>
  <c r="C122" i="10"/>
  <c r="E113" i="10"/>
  <c r="C264" i="17"/>
  <c r="E264" i="17" s="1"/>
  <c r="F205" i="17"/>
  <c r="C154" i="8"/>
  <c r="C155" i="8"/>
  <c r="C156" i="8"/>
  <c r="C152" i="8"/>
  <c r="E198" i="9"/>
  <c r="F198" i="9" s="1"/>
  <c r="C207" i="9"/>
  <c r="E204" i="9"/>
  <c r="F204" i="9" s="1"/>
  <c r="D139" i="17"/>
  <c r="D62" i="17"/>
  <c r="C153" i="8"/>
  <c r="E98" i="8"/>
  <c r="C157" i="18"/>
  <c r="E157" i="18" s="1"/>
  <c r="E156" i="18"/>
  <c r="C168" i="18"/>
  <c r="D303" i="18"/>
  <c r="D247" i="18"/>
  <c r="E191" i="17"/>
  <c r="F191" i="17" s="1"/>
  <c r="D20" i="8"/>
  <c r="C115" i="18"/>
  <c r="C157" i="8"/>
  <c r="F173" i="17"/>
  <c r="C175" i="17"/>
  <c r="C295" i="18"/>
  <c r="E295" i="18" s="1"/>
  <c r="E33" i="18"/>
  <c r="E22" i="4"/>
  <c r="F22" i="4" s="1"/>
  <c r="E167" i="7"/>
  <c r="F167" i="7" s="1"/>
  <c r="D188" i="7"/>
  <c r="E188" i="7" s="1"/>
  <c r="F188" i="7" s="1"/>
  <c r="D156" i="8"/>
  <c r="D153" i="8"/>
  <c r="D89" i="17"/>
  <c r="E88" i="17"/>
  <c r="F88" i="17" s="1"/>
  <c r="C306" i="17"/>
  <c r="E250" i="17"/>
  <c r="F250" i="17" s="1"/>
  <c r="D108" i="22"/>
  <c r="D111" i="22"/>
  <c r="D102" i="18"/>
  <c r="D112" i="22"/>
  <c r="D155" i="8"/>
  <c r="E274" i="17"/>
  <c r="C268" i="17"/>
  <c r="F261" i="17"/>
  <c r="C196" i="17"/>
  <c r="E48" i="17"/>
  <c r="F48" i="17" s="1"/>
  <c r="D160" i="17"/>
  <c r="E160" i="17" s="1"/>
  <c r="F160" i="17" s="1"/>
  <c r="D169" i="18"/>
  <c r="E155" i="8"/>
  <c r="E153" i="8"/>
  <c r="E154" i="8"/>
  <c r="C199" i="17"/>
  <c r="C290" i="17"/>
  <c r="F198" i="17"/>
  <c r="C227" i="17"/>
  <c r="E226" i="17"/>
  <c r="F226" i="17"/>
  <c r="E240" i="18"/>
  <c r="D263" i="17"/>
  <c r="E263" i="17" s="1"/>
  <c r="F263" i="17" s="1"/>
  <c r="C271" i="17"/>
  <c r="D157" i="8"/>
  <c r="E156" i="8"/>
  <c r="E290" i="17"/>
  <c r="E144" i="18"/>
  <c r="C180" i="18"/>
  <c r="C145" i="18"/>
  <c r="F42" i="6"/>
  <c r="F81" i="6"/>
  <c r="E41" i="7"/>
  <c r="F41" i="7" s="1"/>
  <c r="C95" i="7"/>
  <c r="D152" i="8"/>
  <c r="E111" i="6"/>
  <c r="F111" i="6"/>
  <c r="D53" i="8"/>
  <c r="D49" i="8"/>
  <c r="D49" i="12"/>
  <c r="D47" i="22"/>
  <c r="D49" i="17"/>
  <c r="D268" i="17"/>
  <c r="E268" i="17" s="1"/>
  <c r="D57" i="8"/>
  <c r="D62" i="8" s="1"/>
  <c r="D154" i="8"/>
  <c r="C272" i="17"/>
  <c r="E262" i="17"/>
  <c r="F262" i="17" s="1"/>
  <c r="C90" i="17"/>
  <c r="D84" i="18"/>
  <c r="D101" i="18"/>
  <c r="D98" i="18"/>
  <c r="D83" i="18"/>
  <c r="D88" i="18"/>
  <c r="D89" i="18"/>
  <c r="D86" i="18"/>
  <c r="F73" i="4"/>
  <c r="E75" i="15"/>
  <c r="F75" i="15" s="1"/>
  <c r="F73" i="15"/>
  <c r="E76" i="17"/>
  <c r="F76" i="17" s="1"/>
  <c r="C77" i="17"/>
  <c r="E77" i="17" s="1"/>
  <c r="D300" i="17"/>
  <c r="F274" i="17"/>
  <c r="C41" i="4"/>
  <c r="C43" i="4" s="1"/>
  <c r="C65" i="4"/>
  <c r="E61" i="4"/>
  <c r="F61" i="4" s="1"/>
  <c r="E102" i="9"/>
  <c r="F102" i="9" s="1"/>
  <c r="D55" i="22"/>
  <c r="C287" i="17"/>
  <c r="C284" i="17"/>
  <c r="E283" i="17"/>
  <c r="F283" i="17" s="1"/>
  <c r="C210" i="17"/>
  <c r="E316" i="18"/>
  <c r="F38" i="6"/>
  <c r="F49" i="6"/>
  <c r="F92" i="6"/>
  <c r="E35" i="7"/>
  <c r="F35" i="7" s="1"/>
  <c r="F24" i="9"/>
  <c r="E48" i="10"/>
  <c r="E38" i="4"/>
  <c r="F38" i="4" s="1"/>
  <c r="F45" i="6"/>
  <c r="C95" i="6"/>
  <c r="F90" i="6"/>
  <c r="F100" i="15"/>
  <c r="C216" i="17"/>
  <c r="E198" i="17"/>
  <c r="D199" i="17"/>
  <c r="C254" i="18"/>
  <c r="F75" i="9"/>
  <c r="F30" i="15"/>
  <c r="F13" i="16"/>
  <c r="F36" i="17"/>
  <c r="E330" i="18"/>
  <c r="E38" i="6"/>
  <c r="E93" i="6"/>
  <c r="E50" i="9"/>
  <c r="F50" i="9" s="1"/>
  <c r="F29" i="17"/>
  <c r="F86" i="6"/>
  <c r="E179" i="9"/>
  <c r="E29" i="11"/>
  <c r="F29" i="11" s="1"/>
  <c r="C42" i="13"/>
  <c r="E29" i="17"/>
  <c r="E53" i="17"/>
  <c r="F53" i="17" s="1"/>
  <c r="C68" i="17"/>
  <c r="E68" i="17" s="1"/>
  <c r="F67" i="17"/>
  <c r="D95" i="7"/>
  <c r="E95" i="7" s="1"/>
  <c r="D86" i="8"/>
  <c r="C149" i="8"/>
  <c r="E23" i="9"/>
  <c r="F23" i="9" s="1"/>
  <c r="F180" i="9"/>
  <c r="E180" i="9"/>
  <c r="E48" i="5"/>
  <c r="C52" i="6"/>
  <c r="E137" i="6"/>
  <c r="F137" i="6" s="1"/>
  <c r="E18" i="7"/>
  <c r="F18" i="7" s="1"/>
  <c r="E71" i="10"/>
  <c r="E32" i="12"/>
  <c r="F32" i="12" s="1"/>
  <c r="F92" i="15"/>
  <c r="E17" i="16"/>
  <c r="F17" i="16" s="1"/>
  <c r="F140" i="9"/>
  <c r="E200" i="9"/>
  <c r="F200" i="9" s="1"/>
  <c r="E84" i="10"/>
  <c r="E115" i="10"/>
  <c r="F21" i="16"/>
  <c r="D253" i="18"/>
  <c r="E253" i="18" s="1"/>
  <c r="F115" i="9"/>
  <c r="F192" i="9"/>
  <c r="D207" i="9"/>
  <c r="E207" i="9" s="1"/>
  <c r="E119" i="10"/>
  <c r="C75" i="11"/>
  <c r="C50" i="13"/>
  <c r="D168" i="18"/>
  <c r="E25" i="13"/>
  <c r="E27" i="13" s="1"/>
  <c r="E59" i="13"/>
  <c r="E61" i="13" s="1"/>
  <c r="E57" i="13" s="1"/>
  <c r="E48" i="13"/>
  <c r="E42" i="13" s="1"/>
  <c r="F58" i="17"/>
  <c r="E67" i="17"/>
  <c r="E127" i="9"/>
  <c r="F127" i="9" s="1"/>
  <c r="E154" i="9"/>
  <c r="D208" i="9"/>
  <c r="E208" i="9" s="1"/>
  <c r="F208" i="9" s="1"/>
  <c r="E117" i="10"/>
  <c r="E50" i="13"/>
  <c r="F16" i="15"/>
  <c r="F17" i="17"/>
  <c r="D181" i="17"/>
  <c r="C49" i="19"/>
  <c r="D244" i="18"/>
  <c r="E244" i="18" s="1"/>
  <c r="F36" i="20"/>
  <c r="D210" i="18"/>
  <c r="D245" i="18"/>
  <c r="E245" i="18" s="1"/>
  <c r="C77" i="22"/>
  <c r="D289" i="17" l="1"/>
  <c r="D291" i="17"/>
  <c r="D305" i="17" s="1"/>
  <c r="D259" i="18"/>
  <c r="D77" i="18"/>
  <c r="D111" i="18" s="1"/>
  <c r="E111" i="18" s="1"/>
  <c r="E76" i="18"/>
  <c r="D270" i="17"/>
  <c r="E270" i="17" s="1"/>
  <c r="F270" i="17" s="1"/>
  <c r="E267" i="17"/>
  <c r="F267" i="17" s="1"/>
  <c r="E278" i="17"/>
  <c r="F278" i="17" s="1"/>
  <c r="C288" i="17"/>
  <c r="E113" i="22"/>
  <c r="E109" i="22"/>
  <c r="E108" i="22"/>
  <c r="C61" i="17"/>
  <c r="E60" i="17"/>
  <c r="F60" i="17" s="1"/>
  <c r="D140" i="17"/>
  <c r="D141" i="17" s="1"/>
  <c r="D322" i="17" s="1"/>
  <c r="E32" i="17"/>
  <c r="F32" i="17" s="1"/>
  <c r="E284" i="18"/>
  <c r="D173" i="17"/>
  <c r="D207" i="17"/>
  <c r="E172" i="17"/>
  <c r="E181" i="17"/>
  <c r="D286" i="17"/>
  <c r="E286" i="17" s="1"/>
  <c r="F286" i="17" s="1"/>
  <c r="E159" i="17"/>
  <c r="D161" i="17"/>
  <c r="E46" i="20"/>
  <c r="F46" i="20" s="1"/>
  <c r="D21" i="13"/>
  <c r="E217" i="18"/>
  <c r="C241" i="18"/>
  <c r="E241" i="18" s="1"/>
  <c r="D284" i="17"/>
  <c r="C21" i="13"/>
  <c r="C40" i="22"/>
  <c r="C54" i="22"/>
  <c r="C30" i="22"/>
  <c r="C36" i="22"/>
  <c r="C46" i="22"/>
  <c r="E138" i="17"/>
  <c r="F138" i="17" s="1"/>
  <c r="C282" i="17"/>
  <c r="E111" i="17"/>
  <c r="F111" i="17"/>
  <c r="E71" i="18"/>
  <c r="C22" i="8"/>
  <c r="E157" i="8"/>
  <c r="E152" i="8"/>
  <c r="E158" i="8" s="1"/>
  <c r="C24" i="13"/>
  <c r="C20" i="13" s="1"/>
  <c r="C17" i="13"/>
  <c r="C28" i="13" s="1"/>
  <c r="C70" i="13" s="1"/>
  <c r="C72" i="13" s="1"/>
  <c r="C69" i="13" s="1"/>
  <c r="C161" i="17"/>
  <c r="E21" i="17"/>
  <c r="C49" i="17"/>
  <c r="C50" i="17" s="1"/>
  <c r="C126" i="17"/>
  <c r="C127" i="17" s="1"/>
  <c r="F21" i="17"/>
  <c r="C91" i="17"/>
  <c r="C92" i="17" s="1"/>
  <c r="C246" i="18"/>
  <c r="E246" i="18" s="1"/>
  <c r="E222" i="18"/>
  <c r="C223" i="18"/>
  <c r="E41" i="20"/>
  <c r="E43" i="18"/>
  <c r="C259" i="18"/>
  <c r="C263" i="18" s="1"/>
  <c r="E288" i="17"/>
  <c r="D271" i="17"/>
  <c r="E216" i="17"/>
  <c r="F216" i="17" s="1"/>
  <c r="E111" i="22"/>
  <c r="D24" i="13"/>
  <c r="D20" i="13" s="1"/>
  <c r="D17" i="13"/>
  <c r="D28" i="13" s="1"/>
  <c r="D112" i="8"/>
  <c r="D111" i="8" s="1"/>
  <c r="D28" i="8"/>
  <c r="E302" i="18"/>
  <c r="C303" i="18"/>
  <c r="C306" i="18" s="1"/>
  <c r="C310" i="18" s="1"/>
  <c r="C44" i="18"/>
  <c r="C85" i="18" s="1"/>
  <c r="E85" i="18" s="1"/>
  <c r="E141" i="8"/>
  <c r="C42" i="12"/>
  <c r="C129" i="18"/>
  <c r="E110" i="22"/>
  <c r="E285" i="17"/>
  <c r="F285" i="17" s="1"/>
  <c r="E199" i="17"/>
  <c r="C20" i="8"/>
  <c r="C279" i="17"/>
  <c r="F41" i="20"/>
  <c r="I33" i="14"/>
  <c r="I36" i="14" s="1"/>
  <c r="I38" i="14" s="1"/>
  <c r="I40" i="14" s="1"/>
  <c r="G36" i="14"/>
  <c r="G38" i="14" s="1"/>
  <c r="G40" i="14" s="1"/>
  <c r="E34" i="12"/>
  <c r="F34" i="12" s="1"/>
  <c r="C47" i="22"/>
  <c r="C55" i="22"/>
  <c r="C37" i="22"/>
  <c r="C140" i="17"/>
  <c r="E22" i="18"/>
  <c r="D284" i="18"/>
  <c r="E21" i="13"/>
  <c r="E20" i="13"/>
  <c r="E22" i="13"/>
  <c r="E49" i="17"/>
  <c r="F49" i="17" s="1"/>
  <c r="D50" i="17"/>
  <c r="D63" i="17"/>
  <c r="D126" i="17"/>
  <c r="E124" i="17"/>
  <c r="F124" i="17" s="1"/>
  <c r="D306" i="18"/>
  <c r="E303" i="18"/>
  <c r="D21" i="5"/>
  <c r="E18" i="5"/>
  <c r="F18" i="5" s="1"/>
  <c r="D110" i="18"/>
  <c r="D122" i="18"/>
  <c r="D112" i="18"/>
  <c r="E112" i="18" s="1"/>
  <c r="D115" i="18"/>
  <c r="E115" i="18" s="1"/>
  <c r="E77" i="18"/>
  <c r="D109" i="18"/>
  <c r="D126" i="18"/>
  <c r="E126" i="18" s="1"/>
  <c r="D113" i="18"/>
  <c r="E113" i="18" s="1"/>
  <c r="D125" i="18"/>
  <c r="E125" i="18" s="1"/>
  <c r="D123" i="18"/>
  <c r="E123" i="18" s="1"/>
  <c r="D121" i="18"/>
  <c r="F52" i="6"/>
  <c r="C140" i="8"/>
  <c r="C138" i="8"/>
  <c r="C136" i="8"/>
  <c r="C137" i="8"/>
  <c r="C135" i="8"/>
  <c r="C139" i="8"/>
  <c r="F95" i="6"/>
  <c r="F287" i="17"/>
  <c r="C291" i="17"/>
  <c r="C289" i="17"/>
  <c r="E227" i="17"/>
  <c r="F227" i="17" s="1"/>
  <c r="F268" i="17"/>
  <c r="E306" i="17"/>
  <c r="C158" i="8"/>
  <c r="D141" i="8"/>
  <c r="C281" i="17"/>
  <c r="E280" i="17"/>
  <c r="F280" i="17" s="1"/>
  <c r="E254" i="17"/>
  <c r="F254" i="17" s="1"/>
  <c r="E52" i="6"/>
  <c r="C111" i="22"/>
  <c r="C110" i="22"/>
  <c r="C109" i="22"/>
  <c r="C112" i="22"/>
  <c r="C108" i="22"/>
  <c r="E168" i="18"/>
  <c r="F272" i="17"/>
  <c r="C169" i="18"/>
  <c r="E169" i="18" s="1"/>
  <c r="C181" i="18"/>
  <c r="E200" i="17"/>
  <c r="F200" i="17" s="1"/>
  <c r="E43" i="11"/>
  <c r="F43" i="11" s="1"/>
  <c r="E75" i="4"/>
  <c r="C117" i="18"/>
  <c r="C131" i="18" s="1"/>
  <c r="C106" i="17"/>
  <c r="E145" i="18"/>
  <c r="C75" i="4"/>
  <c r="E65" i="4"/>
  <c r="F65" i="4"/>
  <c r="D91" i="18"/>
  <c r="D158" i="8"/>
  <c r="C273" i="17"/>
  <c r="F290" i="17"/>
  <c r="D125" i="17"/>
  <c r="E125" i="17" s="1"/>
  <c r="F125" i="17" s="1"/>
  <c r="E89" i="17"/>
  <c r="D91" i="17"/>
  <c r="D90" i="17"/>
  <c r="E90" i="17" s="1"/>
  <c r="F90" i="17" s="1"/>
  <c r="C176" i="17"/>
  <c r="F176" i="17" s="1"/>
  <c r="F122" i="10"/>
  <c r="E122" i="10"/>
  <c r="C116" i="18"/>
  <c r="E259" i="18"/>
  <c r="D263" i="18"/>
  <c r="D234" i="18"/>
  <c r="E234" i="18" s="1"/>
  <c r="D211" i="18"/>
  <c r="D180" i="18"/>
  <c r="E180" i="18" s="1"/>
  <c r="E210" i="18"/>
  <c r="E41" i="4"/>
  <c r="F41" i="4"/>
  <c r="F199" i="17"/>
  <c r="E103" i="17"/>
  <c r="F103" i="17" s="1"/>
  <c r="D105" i="17"/>
  <c r="D104" i="17"/>
  <c r="D254" i="18"/>
  <c r="E254" i="18" s="1"/>
  <c r="E287" i="17"/>
  <c r="F75" i="11"/>
  <c r="C141" i="17"/>
  <c r="F95" i="7"/>
  <c r="E192" i="17"/>
  <c r="F192" i="17" s="1"/>
  <c r="D193" i="17"/>
  <c r="F68" i="17"/>
  <c r="E284" i="17"/>
  <c r="F284" i="17"/>
  <c r="C300" i="17"/>
  <c r="C265" i="17"/>
  <c r="F264" i="17"/>
  <c r="C97" i="18"/>
  <c r="E97" i="18" s="1"/>
  <c r="C100" i="18"/>
  <c r="E100" i="18" s="1"/>
  <c r="C87" i="18"/>
  <c r="E87" i="18" s="1"/>
  <c r="C83" i="18"/>
  <c r="E83" i="18" s="1"/>
  <c r="C84" i="18"/>
  <c r="C99" i="18"/>
  <c r="E99" i="18" s="1"/>
  <c r="D90" i="18"/>
  <c r="F207" i="9"/>
  <c r="E37" i="22"/>
  <c r="E55" i="22"/>
  <c r="E47" i="22"/>
  <c r="E112" i="22"/>
  <c r="E43" i="4"/>
  <c r="F43" i="4" s="1"/>
  <c r="E279" i="17" l="1"/>
  <c r="F279" i="17"/>
  <c r="C247" i="18"/>
  <c r="E247" i="18" s="1"/>
  <c r="E223" i="18"/>
  <c r="C48" i="22"/>
  <c r="C56" i="22"/>
  <c r="C38" i="22"/>
  <c r="C86" i="18"/>
  <c r="E86" i="18" s="1"/>
  <c r="C209" i="17"/>
  <c r="C139" i="17"/>
  <c r="E139" i="17" s="1"/>
  <c r="F139" i="17" s="1"/>
  <c r="C104" i="17"/>
  <c r="C174" i="17"/>
  <c r="E61" i="17"/>
  <c r="F61" i="17" s="1"/>
  <c r="D208" i="17"/>
  <c r="E207" i="17"/>
  <c r="F207" i="17" s="1"/>
  <c r="C96" i="18"/>
  <c r="C102" i="18" s="1"/>
  <c r="E102" i="18" s="1"/>
  <c r="C88" i="18"/>
  <c r="E88" i="18" s="1"/>
  <c r="D124" i="18"/>
  <c r="E124" i="18" s="1"/>
  <c r="D127" i="18"/>
  <c r="E127" i="18" s="1"/>
  <c r="D99" i="8"/>
  <c r="D101" i="8" s="1"/>
  <c r="D98" i="8" s="1"/>
  <c r="D22" i="8"/>
  <c r="C22" i="13"/>
  <c r="E173" i="17"/>
  <c r="D174" i="17"/>
  <c r="E174" i="17" s="1"/>
  <c r="C49" i="12"/>
  <c r="E42" i="12"/>
  <c r="F42" i="12" s="1"/>
  <c r="C162" i="17"/>
  <c r="F161" i="17"/>
  <c r="C90" i="18"/>
  <c r="C91" i="18" s="1"/>
  <c r="C101" i="18"/>
  <c r="E101" i="18" s="1"/>
  <c r="E104" i="17"/>
  <c r="F104" i="17" s="1"/>
  <c r="D273" i="17"/>
  <c r="E273" i="17" s="1"/>
  <c r="D304" i="17"/>
  <c r="E304" i="17" s="1"/>
  <c r="F304" i="17" s="1"/>
  <c r="E271" i="17"/>
  <c r="F271" i="17" s="1"/>
  <c r="E44" i="18"/>
  <c r="C95" i="18"/>
  <c r="C98" i="18"/>
  <c r="E98" i="18" s="1"/>
  <c r="C258" i="18"/>
  <c r="E140" i="17"/>
  <c r="F140" i="17" s="1"/>
  <c r="C113" i="22"/>
  <c r="C89" i="18"/>
  <c r="E89" i="18" s="1"/>
  <c r="E291" i="17"/>
  <c r="D114" i="18"/>
  <c r="E114" i="18" s="1"/>
  <c r="C62" i="17"/>
  <c r="D22" i="13"/>
  <c r="D70" i="13"/>
  <c r="D72" i="13" s="1"/>
  <c r="D69" i="13" s="1"/>
  <c r="D175" i="17"/>
  <c r="D162" i="17"/>
  <c r="E161" i="17"/>
  <c r="F288" i="17"/>
  <c r="D106" i="17"/>
  <c r="E106" i="17" s="1"/>
  <c r="F106" i="17" s="1"/>
  <c r="E105" i="17"/>
  <c r="F105" i="17" s="1"/>
  <c r="D105" i="18"/>
  <c r="D309" i="17"/>
  <c r="E91" i="17"/>
  <c r="F91" i="17" s="1"/>
  <c r="D92" i="17"/>
  <c r="E109" i="18"/>
  <c r="E121" i="18"/>
  <c r="E21" i="5"/>
  <c r="F21" i="5" s="1"/>
  <c r="D35" i="5"/>
  <c r="C148" i="17"/>
  <c r="C322" i="17"/>
  <c r="C211" i="17"/>
  <c r="E141" i="17"/>
  <c r="F141" i="17" s="1"/>
  <c r="E300" i="17"/>
  <c r="F300" i="17" s="1"/>
  <c r="D70" i="17"/>
  <c r="E50" i="17"/>
  <c r="F50" i="17" s="1"/>
  <c r="E84" i="18"/>
  <c r="F75" i="4"/>
  <c r="C183" i="17"/>
  <c r="F183" i="17" s="1"/>
  <c r="C141" i="8"/>
  <c r="E306" i="18"/>
  <c r="D310" i="18"/>
  <c r="E310" i="18" s="1"/>
  <c r="E211" i="18"/>
  <c r="D235" i="18"/>
  <c r="E235" i="18" s="1"/>
  <c r="D181" i="18"/>
  <c r="E181" i="18" s="1"/>
  <c r="E122" i="18"/>
  <c r="D128" i="18"/>
  <c r="E128" i="18" s="1"/>
  <c r="F291" i="17"/>
  <c r="C305" i="17"/>
  <c r="E305" i="17" s="1"/>
  <c r="F273" i="17"/>
  <c r="C324" i="17"/>
  <c r="C113" i="17"/>
  <c r="D194" i="17"/>
  <c r="D266" i="17"/>
  <c r="D282" i="17"/>
  <c r="E193" i="17"/>
  <c r="F193" i="17" s="1"/>
  <c r="E263" i="18"/>
  <c r="D264" i="18"/>
  <c r="E289" i="17"/>
  <c r="F289" i="17" s="1"/>
  <c r="E110" i="18"/>
  <c r="D116" i="18"/>
  <c r="E116" i="18" s="1"/>
  <c r="D127" i="17"/>
  <c r="E126" i="17"/>
  <c r="F126" i="17" s="1"/>
  <c r="C103" i="18" l="1"/>
  <c r="E103" i="18" s="1"/>
  <c r="C63" i="17"/>
  <c r="E62" i="17"/>
  <c r="F62" i="17" s="1"/>
  <c r="E258" i="18"/>
  <c r="E208" i="17"/>
  <c r="F208" i="17" s="1"/>
  <c r="D209" i="17"/>
  <c r="E209" i="17" s="1"/>
  <c r="F209" i="17" s="1"/>
  <c r="D210" i="17"/>
  <c r="E96" i="18"/>
  <c r="C264" i="18"/>
  <c r="C266" i="18" s="1"/>
  <c r="C267" i="18" s="1"/>
  <c r="C197" i="17"/>
  <c r="C323" i="17"/>
  <c r="F323" i="17" s="1"/>
  <c r="F162" i="17"/>
  <c r="F174" i="17"/>
  <c r="E90" i="18"/>
  <c r="E162" i="17"/>
  <c r="E95" i="18"/>
  <c r="E175" i="17"/>
  <c r="F175" i="17" s="1"/>
  <c r="D176" i="17"/>
  <c r="E49" i="12"/>
  <c r="F49" i="12" s="1"/>
  <c r="D43" i="5"/>
  <c r="E35" i="5"/>
  <c r="F35" i="5" s="1"/>
  <c r="E264" i="18"/>
  <c r="D266" i="18"/>
  <c r="C325" i="17"/>
  <c r="D310" i="17"/>
  <c r="E322" i="17"/>
  <c r="F322" i="17"/>
  <c r="D129" i="18"/>
  <c r="E129" i="18" s="1"/>
  <c r="E127" i="17"/>
  <c r="F127" i="17" s="1"/>
  <c r="D148" i="17"/>
  <c r="E148" i="17" s="1"/>
  <c r="F148" i="17" s="1"/>
  <c r="D281" i="17"/>
  <c r="E281" i="17" s="1"/>
  <c r="F281" i="17" s="1"/>
  <c r="E282" i="17"/>
  <c r="F282" i="17" s="1"/>
  <c r="D117" i="18"/>
  <c r="E91" i="18"/>
  <c r="E266" i="17"/>
  <c r="F266" i="17" s="1"/>
  <c r="D265" i="17"/>
  <c r="E265" i="17" s="1"/>
  <c r="F265" i="17" s="1"/>
  <c r="C309" i="17"/>
  <c r="E309" i="17" s="1"/>
  <c r="F305" i="17"/>
  <c r="E194" i="17"/>
  <c r="F194" i="17" s="1"/>
  <c r="D196" i="17"/>
  <c r="D195" i="17"/>
  <c r="E195" i="17" s="1"/>
  <c r="F195" i="17" s="1"/>
  <c r="E92" i="17"/>
  <c r="F92" i="17" s="1"/>
  <c r="D324" i="17"/>
  <c r="D113" i="17"/>
  <c r="E113" i="17" s="1"/>
  <c r="F113" i="17" s="1"/>
  <c r="C268" i="18" l="1"/>
  <c r="C269" i="18"/>
  <c r="D183" i="17"/>
  <c r="E183" i="17" s="1"/>
  <c r="D323" i="17"/>
  <c r="E323" i="17" s="1"/>
  <c r="E176" i="17"/>
  <c r="E63" i="17"/>
  <c r="F63" i="17" s="1"/>
  <c r="C70" i="17"/>
  <c r="E70" i="17" s="1"/>
  <c r="F70" i="17" s="1"/>
  <c r="C105" i="18"/>
  <c r="E105" i="18" s="1"/>
  <c r="E210" i="17"/>
  <c r="F210" i="17" s="1"/>
  <c r="D211" i="17"/>
  <c r="E211" i="17" s="1"/>
  <c r="F211" i="17" s="1"/>
  <c r="E324" i="17"/>
  <c r="F324" i="17" s="1"/>
  <c r="D325" i="17"/>
  <c r="E325" i="17" s="1"/>
  <c r="F325" i="17"/>
  <c r="D197" i="17"/>
  <c r="E197" i="17" s="1"/>
  <c r="F197" i="17" s="1"/>
  <c r="E196" i="17"/>
  <c r="F196" i="17" s="1"/>
  <c r="E266" i="18"/>
  <c r="D267" i="18"/>
  <c r="E117" i="18"/>
  <c r="D131" i="18"/>
  <c r="E131" i="18" s="1"/>
  <c r="D312" i="17"/>
  <c r="F309" i="17"/>
  <c r="C310" i="17"/>
  <c r="E310" i="17" s="1"/>
  <c r="D50" i="5"/>
  <c r="E50" i="5" s="1"/>
  <c r="F50" i="5" s="1"/>
  <c r="E43" i="5"/>
  <c r="F43" i="5" s="1"/>
  <c r="C271" i="18" l="1"/>
  <c r="E312" i="17"/>
  <c r="D313" i="17"/>
  <c r="E267" i="18"/>
  <c r="D268" i="18"/>
  <c r="D269" i="18"/>
  <c r="E269" i="18" s="1"/>
  <c r="C312" i="17"/>
  <c r="F310" i="17"/>
  <c r="D271" i="18" l="1"/>
  <c r="E271" i="18" s="1"/>
  <c r="E268" i="18"/>
  <c r="D315" i="17"/>
  <c r="D314" i="17"/>
  <c r="D251" i="17"/>
  <c r="D256" i="17"/>
  <c r="F312" i="17"/>
  <c r="C313" i="17"/>
  <c r="D318" i="17" l="1"/>
  <c r="C256" i="17"/>
  <c r="C315" i="17"/>
  <c r="E315" i="17" s="1"/>
  <c r="C251" i="17"/>
  <c r="E251" i="17" s="1"/>
  <c r="C314" i="17"/>
  <c r="E314" i="17" s="1"/>
  <c r="D257" i="17"/>
  <c r="E313" i="17"/>
  <c r="F313" i="17" s="1"/>
  <c r="C257" i="17" l="1"/>
  <c r="E256" i="17"/>
  <c r="F256" i="17" s="1"/>
  <c r="E318" i="17"/>
  <c r="F314" i="17"/>
  <c r="C318" i="17"/>
  <c r="F251" i="17"/>
  <c r="F315" i="17"/>
  <c r="F318" i="17" l="1"/>
  <c r="E257" i="17"/>
  <c r="F257" i="17" s="1"/>
</calcChain>
</file>

<file path=xl/sharedStrings.xml><?xml version="1.0" encoding="utf-8"?>
<sst xmlns="http://schemas.openxmlformats.org/spreadsheetml/2006/main" count="2333" uniqueCount="1008">
  <si>
    <t>BRISTOL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</si>
  <si>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</si>
  <si>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</si>
  <si>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</si>
  <si>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</si>
  <si>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</si>
  <si>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</si>
  <si>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</si>
  <si>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</si>
  <si>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</si>
  <si>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</si>
  <si>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</si>
  <si>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</si>
  <si>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</si>
  <si>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</si>
  <si>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</si>
  <si>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</si>
  <si>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</si>
  <si>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</si>
  <si>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</si>
  <si>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</si>
  <si>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</si>
  <si>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</si>
  <si>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</si>
  <si>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</si>
  <si>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</si>
  <si>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</si>
  <si>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</si>
  <si>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</si>
  <si>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</si>
  <si>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</si>
  <si>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</si>
  <si>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</si>
  <si>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</si>
  <si>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</si>
  <si>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</si>
  <si>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</si>
  <si>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</si>
  <si>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</si>
  <si>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</si>
  <si>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</si>
  <si>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</si>
  <si>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</si>
  <si>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</si>
  <si>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</si>
  <si>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</si>
  <si>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</si>
  <si>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</si>
  <si>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</si>
  <si>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</si>
  <si>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</si>
  <si>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</si>
  <si>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</si>
  <si>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</si>
  <si>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</si>
  <si>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</si>
  <si>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</si>
  <si>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</si>
  <si>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</si>
  <si>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</si>
  <si>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</si>
  <si>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</si>
  <si>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</si>
  <si>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</si>
  <si>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</si>
  <si>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</si>
  <si>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</si>
  <si>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</si>
  <si>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</si>
  <si>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</si>
  <si>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</si>
  <si>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</si>
  <si>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</si>
  <si>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</si>
  <si>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</si>
  <si>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</si>
  <si>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</si>
  <si>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</si>
  <si>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</si>
  <si>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</si>
  <si>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</si>
  <si>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</si>
  <si>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</si>
  <si>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</si>
  <si>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</si>
  <si>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</si>
  <si>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</si>
  <si>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</si>
  <si>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</si>
  <si>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</si>
  <si>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</si>
  <si>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</si>
  <si>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</si>
  <si>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</si>
  <si>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</si>
  <si>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</si>
  <si>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</si>
  <si>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</si>
  <si>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</si>
  <si>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</si>
  <si>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</si>
  <si>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</si>
  <si>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</si>
  <si>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</si>
  <si>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</si>
  <si>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</si>
  <si>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</si>
  <si>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</si>
  <si>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</si>
  <si>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</si>
  <si>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</si>
  <si>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</si>
  <si>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</si>
  <si>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</si>
  <si>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</si>
  <si>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</si>
  <si>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</si>
  <si>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</si>
  <si>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</si>
  <si>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</si>
  <si>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</si>
  <si>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</si>
  <si>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</si>
  <si>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</si>
  <si>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</si>
  <si>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</si>
  <si>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</si>
  <si>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</si>
  <si>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</si>
  <si>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</si>
  <si>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</si>
  <si>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</si>
  <si>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</si>
  <si>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</si>
  <si>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</si>
  <si>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</si>
  <si>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</si>
  <si>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</si>
  <si>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</si>
  <si>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</si>
  <si>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</si>
  <si>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</si>
  <si>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</si>
  <si>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</si>
  <si>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</si>
  <si>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</si>
  <si>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</si>
  <si>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</si>
  <si>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</si>
  <si>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</si>
  <si>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</si>
  <si>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</si>
  <si>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</si>
  <si>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</si>
  <si>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</si>
  <si>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</si>
  <si>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</si>
  <si>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</si>
  <si>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</si>
  <si>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</si>
  <si>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</si>
  <si>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</si>
  <si>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</si>
  <si>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</si>
  <si>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</si>
  <si>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</si>
  <si>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</si>
  <si>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</si>
  <si>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</si>
  <si>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</si>
  <si>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</si>
  <si>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</si>
  <si>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</si>
  <si>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</si>
  <si>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</si>
  <si>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</si>
  <si>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</si>
  <si>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</si>
  <si>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</si>
  <si>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</si>
  <si>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</si>
  <si>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</si>
  <si>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</si>
  <si>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</si>
  <si>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</si>
  <si>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</si>
  <si>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</si>
  <si>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</si>
  <si>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</si>
  <si>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</si>
  <si>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</si>
  <si>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</si>
  <si>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</si>
  <si>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</si>
  <si>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</si>
  <si>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</si>
  <si>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</si>
  <si>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</si>
  <si>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</si>
  <si>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</si>
  <si>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</si>
  <si>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</si>
  <si>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</si>
  <si>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</si>
  <si>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</si>
  <si>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</si>
  <si>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</si>
  <si>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</si>
  <si>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</si>
  <si>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</si>
  <si>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</si>
  <si>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</si>
  <si>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</si>
  <si>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</si>
  <si>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</si>
  <si>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</si>
  <si>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</si>
  <si>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</si>
  <si>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</si>
  <si>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</si>
  <si>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</si>
  <si>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</si>
  <si>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</si>
  <si>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</si>
  <si>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</si>
  <si>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</si>
  <si>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</si>
  <si>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</si>
  <si>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</si>
  <si>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</si>
  <si>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</si>
  <si>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</si>
  <si>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</si>
  <si>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</si>
  <si>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</si>
  <si>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</si>
  <si>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</si>
  <si>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</si>
  <si>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</si>
  <si>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</si>
  <si>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</si>
  <si>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</si>
  <si>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</si>
  <si>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</si>
  <si>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</si>
  <si>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</si>
  <si>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</si>
  <si>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</si>
  <si>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</si>
  <si>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</si>
  <si>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</si>
  <si>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</si>
  <si>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</si>
  <si>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</si>
  <si>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</si>
  <si>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</si>
  <si>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</si>
  <si>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</si>
  <si>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</si>
  <si>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</si>
  <si>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</si>
  <si>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</si>
  <si>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</si>
  <si>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</si>
  <si>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</si>
  <si>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</si>
  <si>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</si>
  <si>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</si>
  <si>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</si>
  <si>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</si>
  <si>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</si>
  <si>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</si>
  <si>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</si>
  <si>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</si>
  <si>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</si>
  <si>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</si>
  <si>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</si>
  <si>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</si>
  <si>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</si>
  <si>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</si>
  <si>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</si>
  <si>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</si>
  <si>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</si>
  <si>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</si>
  <si>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</si>
  <si>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</si>
  <si>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</si>
  <si>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</si>
  <si>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</si>
  <si>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</si>
  <si>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</si>
  <si>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</si>
  <si>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</si>
  <si>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</si>
  <si>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</si>
  <si>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</si>
  <si>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</si>
  <si>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</si>
  <si>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</si>
  <si>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</si>
  <si>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</si>
  <si>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</si>
  <si>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</si>
  <si>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</si>
  <si>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</si>
  <si>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</si>
  <si>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</si>
  <si>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</si>
  <si>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</si>
  <si>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</si>
  <si>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</si>
  <si>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</si>
  <si>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</si>
  <si>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</si>
  <si>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</si>
  <si>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</si>
  <si>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</si>
  <si>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</si>
  <si>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</si>
  <si>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</si>
  <si>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</si>
  <si>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</si>
  <si>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</si>
  <si>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</si>
  <si>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</si>
  <si>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</si>
  <si>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</si>
  <si>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</si>
  <si>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</si>
  <si>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</si>
  <si>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</si>
  <si>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</si>
  <si>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</si>
  <si>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</si>
  <si>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</si>
  <si>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</si>
  <si>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</si>
  <si>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</si>
  <si>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</si>
  <si>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</si>
  <si>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</si>
  <si>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</si>
  <si>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</si>
  <si>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</si>
  <si>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</si>
  <si>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</si>
  <si>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</si>
  <si>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</si>
  <si>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</si>
  <si>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</si>
  <si>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</si>
  <si>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</si>
  <si>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</si>
  <si>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</si>
  <si>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</si>
  <si>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</si>
  <si>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</si>
  <si>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</si>
  <si>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</si>
  <si>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</si>
  <si>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</si>
  <si>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</si>
  <si>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</si>
  <si>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</si>
  <si>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</si>
  <si>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</si>
  <si>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</si>
  <si>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</si>
  <si>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</si>
  <si>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</si>
  <si>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</si>
  <si>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</si>
  <si>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</si>
  <si>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</si>
  <si>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</si>
  <si>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</si>
  <si>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</si>
  <si>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</si>
  <si>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</si>
  <si>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</si>
  <si>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</si>
  <si>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</si>
  <si>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</si>
  <si>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</si>
  <si>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</si>
  <si>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</si>
  <si>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</si>
  <si>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</si>
  <si>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</si>
  <si>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</si>
  <si>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</si>
  <si>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</si>
  <si>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</si>
  <si>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</si>
  <si>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</si>
  <si>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</si>
  <si>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</si>
  <si>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</si>
  <si>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</si>
  <si>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</si>
  <si>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</si>
  <si>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</si>
  <si>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</si>
  <si>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</si>
  <si>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</si>
  <si>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</si>
  <si>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</si>
  <si>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</si>
  <si>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</si>
  <si>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</si>
  <si>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</si>
  <si>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</si>
  <si>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</si>
  <si>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</si>
  <si>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</si>
  <si>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</si>
  <si>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</si>
  <si>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</si>
  <si>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</si>
  <si>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</si>
  <si>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</si>
  <si>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</si>
  <si>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</si>
  <si>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</si>
  <si>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</si>
  <si>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</si>
  <si>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</si>
  <si>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</si>
  <si>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</si>
  <si>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</si>
  <si>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</si>
  <si>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</si>
  <si>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</si>
  <si>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</si>
  <si>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</si>
  <si>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</si>
  <si>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</si>
  <si>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</si>
  <si>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</si>
  <si>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</si>
  <si>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</si>
  <si>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</si>
  <si>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</si>
  <si>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</si>
  <si>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</si>
  <si>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</si>
  <si>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</si>
  <si>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</si>
  <si>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</si>
  <si>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</si>
  <si>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</si>
  <si>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</si>
  <si>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</si>
  <si>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</si>
  <si>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</si>
  <si>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</si>
  <si>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</si>
  <si>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</si>
  <si>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</si>
  <si>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</si>
  <si>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</si>
  <si>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</si>
  <si>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</si>
  <si>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</si>
  <si>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</si>
  <si>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</si>
  <si>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</si>
  <si>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</si>
  <si>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</si>
  <si>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</si>
  <si>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</si>
  <si>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</si>
  <si>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</si>
  <si>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</si>
  <si>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</si>
  <si>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</si>
  <si>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</si>
  <si>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</si>
  <si>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</si>
  <si>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</si>
  <si>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</si>
  <si>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</si>
  <si>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</si>
  <si>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</si>
  <si>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</si>
  <si>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</si>
  <si>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</si>
  <si>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</si>
  <si>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</si>
  <si>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</si>
  <si>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</si>
  <si>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</si>
  <si>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</si>
  <si>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</si>
  <si>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</si>
  <si>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</si>
  <si>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</si>
  <si>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</si>
  <si>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</si>
  <si>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</si>
  <si>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BRISTOL HOSPITAL &amp; HEALTH CARE GROUP,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</si>
  <si>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</si>
  <si>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</si>
  <si>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</si>
  <si>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</si>
  <si>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</si>
  <si>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</si>
  <si>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</si>
  <si>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</si>
  <si>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</si>
  <si>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</si>
  <si>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</si>
  <si>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</si>
  <si>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</si>
  <si>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</si>
  <si>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</si>
  <si>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</si>
  <si>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</si>
  <si>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</si>
  <si>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</si>
  <si>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</si>
  <si>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</si>
  <si>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</si>
  <si>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</si>
  <si>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</si>
  <si>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</si>
  <si>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</si>
  <si>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</si>
  <si>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</si>
  <si>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</si>
  <si>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</si>
  <si>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</si>
  <si>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</si>
  <si>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</si>
  <si>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</si>
  <si>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</si>
  <si>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</si>
  <si>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</si>
  <si>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</si>
  <si>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</si>
  <si>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</si>
  <si>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</si>
  <si>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</si>
  <si>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</si>
  <si>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</si>
  <si>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</si>
  <si>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</si>
  <si>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</si>
  <si>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</si>
  <si>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</si>
  <si>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</si>
  <si>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</si>
  <si>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</si>
  <si>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</si>
  <si>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</si>
  <si>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</si>
  <si>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</si>
  <si>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</si>
  <si>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</si>
  <si>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</si>
  <si>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</si>
  <si>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</si>
  <si>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</si>
  <si>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</si>
  <si>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</si>
  <si>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</si>
  <si>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</si>
  <si>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</si>
  <si>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</si>
  <si>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</si>
  <si>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</si>
  <si>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</si>
  <si>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</si>
  <si>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</si>
  <si>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</si>
  <si>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</si>
  <si>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</si>
  <si>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</si>
  <si>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</si>
  <si>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</si>
  <si>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</si>
  <si>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</si>
  <si>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</si>
  <si>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</si>
  <si>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</si>
  <si>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</si>
  <si>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</si>
  <si>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</si>
  <si>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</si>
  <si>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</si>
  <si>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</si>
  <si>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</si>
  <si>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</si>
  <si>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</si>
  <si>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</si>
  <si>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</si>
  <si>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</si>
  <si>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</si>
  <si>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</si>
  <si>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</si>
  <si>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</si>
  <si>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</si>
  <si>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</si>
  <si>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</si>
  <si>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</si>
  <si>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</si>
  <si>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</si>
  <si>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</si>
  <si>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</si>
  <si>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</si>
  <si>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</si>
  <si>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</si>
  <si>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</si>
  <si>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</si>
  <si>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</si>
  <si>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</si>
  <si>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</si>
  <si>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</si>
  <si>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</si>
  <si>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</si>
  <si>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</si>
  <si>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Bristol Hospital Campus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</si>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</sst>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ColWidth="9.109375" defaultRowHeight="24" customHeight="1" x14ac:dyDescent="0.25"/>
  <cols>
    <col min="1" max="1" width="6.6640625" style="1" customWidth="1"/>
    <col min="2" max="2" width="67.6640625" style="1" customWidth="1"/>
    <col min="3" max="4" width="17.6640625" style="1" bestFit="1" customWidth="1"/>
    <col min="5" max="5" width="16.6640625" style="55" customWidth="1"/>
    <col min="6" max="6" width="17.6640625" style="55" customWidth="1"/>
    <col min="7" max="7" width="12.6640625" style="1" customWidth="1"/>
    <col min="8" max="16384" width="9.109375" style="1"/>
  </cols>
  <sheetData>
    <row r="1" spans="1:8" ht="24" customHeight="1" x14ac:dyDescent="0.3">
      <c r="A1" s="763" t="s">
        <v>0</v>
      </c>
      <c r="B1" s="764"/>
      <c r="C1" s="764"/>
      <c r="D1" s="764"/>
      <c r="E1" s="764"/>
      <c r="F1" s="765"/>
    </row>
    <row r="2" spans="1:8" ht="24" customHeight="1" x14ac:dyDescent="0.3">
      <c r="A2" s="763" t="s">
        <v>1</v>
      </c>
      <c r="B2" s="764"/>
      <c r="C2" s="764"/>
      <c r="D2" s="764"/>
      <c r="E2" s="764"/>
      <c r="F2" s="765"/>
    </row>
    <row r="3" spans="1:8" ht="24" customHeight="1" x14ac:dyDescent="0.3">
      <c r="A3" s="763" t="s">
        <v>2</v>
      </c>
      <c r="B3" s="764"/>
      <c r="C3" s="764"/>
      <c r="D3" s="764"/>
      <c r="E3" s="764"/>
      <c r="F3" s="765"/>
    </row>
    <row r="4" spans="1:8" ht="24" customHeight="1" x14ac:dyDescent="0.3">
      <c r="A4" s="763" t="s">
        <v>3</v>
      </c>
      <c r="B4" s="764"/>
      <c r="C4" s="764"/>
      <c r="D4" s="764"/>
      <c r="E4" s="764"/>
      <c r="F4" s="765"/>
    </row>
    <row r="5" spans="1:8" ht="15" customHeight="1" x14ac:dyDescent="0.3">
      <c r="A5" s="2"/>
      <c r="B5" s="2"/>
      <c r="C5" s="2"/>
      <c r="D5" s="2"/>
      <c r="E5" s="3"/>
      <c r="F5" s="4"/>
    </row>
    <row r="6" spans="1:8" s="6" customFormat="1" ht="15.75" customHeight="1" x14ac:dyDescent="0.3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3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3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3">
      <c r="A9" s="12"/>
      <c r="B9" s="15"/>
      <c r="C9" s="12"/>
      <c r="D9" s="12"/>
      <c r="E9" s="10"/>
      <c r="F9" s="10"/>
    </row>
    <row r="10" spans="1:8" s="6" customFormat="1" ht="15.75" customHeight="1" x14ac:dyDescent="0.3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3">
      <c r="A11" s="16"/>
      <c r="B11" s="7"/>
      <c r="C11" s="16"/>
      <c r="D11" s="16"/>
      <c r="E11" s="18"/>
      <c r="F11" s="18"/>
    </row>
    <row r="12" spans="1:8" s="6" customFormat="1" ht="15.75" customHeight="1" x14ac:dyDescent="0.3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5">
      <c r="A13" s="20">
        <v>1</v>
      </c>
      <c r="B13" s="21" t="s">
        <v>16</v>
      </c>
      <c r="C13" s="22">
        <v>15285938</v>
      </c>
      <c r="D13" s="22">
        <v>11217004</v>
      </c>
      <c r="E13" s="22">
        <f t="shared" ref="E13:E22" si="0">D13-C13</f>
        <v>-4068934</v>
      </c>
      <c r="F13" s="23">
        <f t="shared" ref="F13:F22" si="1">IF(C13=0,0,E13/C13)</f>
        <v>-0.26618804812632368</v>
      </c>
    </row>
    <row r="14" spans="1:8" ht="24" customHeight="1" x14ac:dyDescent="0.25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5">
      <c r="A15" s="20">
        <v>3</v>
      </c>
      <c r="B15" s="21" t="s">
        <v>18</v>
      </c>
      <c r="C15" s="22">
        <v>16471779</v>
      </c>
      <c r="D15" s="22">
        <v>17168498</v>
      </c>
      <c r="E15" s="22">
        <f t="shared" si="0"/>
        <v>696719</v>
      </c>
      <c r="F15" s="23">
        <f t="shared" si="1"/>
        <v>4.229773845314462E-2</v>
      </c>
    </row>
    <row r="16" spans="1:8" ht="24" customHeight="1" x14ac:dyDescent="0.25">
      <c r="A16" s="20">
        <v>4</v>
      </c>
      <c r="B16" s="21" t="s">
        <v>19</v>
      </c>
      <c r="C16" s="22">
        <v>347671</v>
      </c>
      <c r="D16" s="22">
        <v>347671</v>
      </c>
      <c r="E16" s="22">
        <f t="shared" si="0"/>
        <v>0</v>
      </c>
      <c r="F16" s="23">
        <f t="shared" si="1"/>
        <v>0</v>
      </c>
    </row>
    <row r="17" spans="1:11" ht="24" customHeight="1" x14ac:dyDescent="0.25">
      <c r="A17" s="20">
        <v>5</v>
      </c>
      <c r="B17" s="21" t="s">
        <v>20</v>
      </c>
      <c r="C17" s="22">
        <v>0</v>
      </c>
      <c r="D17" s="22">
        <v>2132518</v>
      </c>
      <c r="E17" s="22">
        <f t="shared" si="0"/>
        <v>2132518</v>
      </c>
      <c r="F17" s="23">
        <f t="shared" si="1"/>
        <v>0</v>
      </c>
    </row>
    <row r="18" spans="1:11" ht="24" customHeight="1" x14ac:dyDescent="0.25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5">
      <c r="A19" s="20">
        <v>7</v>
      </c>
      <c r="B19" s="21" t="s">
        <v>22</v>
      </c>
      <c r="C19" s="22">
        <v>1388084</v>
      </c>
      <c r="D19" s="22">
        <v>1437747</v>
      </c>
      <c r="E19" s="22">
        <f t="shared" si="0"/>
        <v>49663</v>
      </c>
      <c r="F19" s="23">
        <f t="shared" si="1"/>
        <v>3.577809412110506E-2</v>
      </c>
    </row>
    <row r="20" spans="1:11" ht="24" customHeight="1" x14ac:dyDescent="0.25">
      <c r="A20" s="20">
        <v>8</v>
      </c>
      <c r="B20" s="21" t="s">
        <v>23</v>
      </c>
      <c r="C20" s="22">
        <v>1008601</v>
      </c>
      <c r="D20" s="22">
        <v>1174059</v>
      </c>
      <c r="E20" s="22">
        <f t="shared" si="0"/>
        <v>165458</v>
      </c>
      <c r="F20" s="23">
        <f t="shared" si="1"/>
        <v>0.16404703148222141</v>
      </c>
    </row>
    <row r="21" spans="1:11" ht="24" customHeight="1" x14ac:dyDescent="0.25">
      <c r="A21" s="20">
        <v>9</v>
      </c>
      <c r="B21" s="21" t="s">
        <v>24</v>
      </c>
      <c r="C21" s="22">
        <v>2818801</v>
      </c>
      <c r="D21" s="22">
        <v>4388159</v>
      </c>
      <c r="E21" s="22">
        <f t="shared" si="0"/>
        <v>1569358</v>
      </c>
      <c r="F21" s="23">
        <f t="shared" si="1"/>
        <v>0.5567466451161327</v>
      </c>
    </row>
    <row r="22" spans="1:11" ht="24" customHeight="1" x14ac:dyDescent="0.3">
      <c r="A22" s="24"/>
      <c r="B22" s="25" t="s">
        <v>25</v>
      </c>
      <c r="C22" s="26">
        <f>SUM(C13:C21)</f>
        <v>37320874</v>
      </c>
      <c r="D22" s="26">
        <f>SUM(D13:D21)</f>
        <v>37865656</v>
      </c>
      <c r="E22" s="26">
        <f t="shared" si="0"/>
        <v>544782</v>
      </c>
      <c r="F22" s="27">
        <f t="shared" si="1"/>
        <v>1.4597246570377746E-2</v>
      </c>
    </row>
    <row r="23" spans="1:11" ht="15" customHeight="1" x14ac:dyDescent="0.25">
      <c r="A23" s="20"/>
      <c r="B23" s="4"/>
      <c r="C23" s="28"/>
      <c r="D23" s="28"/>
      <c r="E23" s="28"/>
      <c r="F23" s="23"/>
    </row>
    <row r="24" spans="1:11" ht="24" customHeight="1" x14ac:dyDescent="0.3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5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5">
      <c r="A26" s="20">
        <v>2</v>
      </c>
      <c r="B26" s="21" t="s">
        <v>29</v>
      </c>
      <c r="C26" s="22">
        <v>6705918</v>
      </c>
      <c r="D26" s="22">
        <v>7398146</v>
      </c>
      <c r="E26" s="22">
        <f>D26-C26</f>
        <v>692228</v>
      </c>
      <c r="F26" s="23">
        <f>IF(C26=0,0,E26/C26)</f>
        <v>0.10322643372615055</v>
      </c>
      <c r="H26" s="32"/>
      <c r="I26" s="33"/>
      <c r="J26" s="33"/>
      <c r="K26" s="34"/>
    </row>
    <row r="27" spans="1:11" ht="24" customHeight="1" x14ac:dyDescent="0.25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5">
      <c r="A28" s="20">
        <v>4</v>
      </c>
      <c r="B28" s="21" t="s">
        <v>31</v>
      </c>
      <c r="C28" s="22">
        <v>10868212</v>
      </c>
      <c r="D28" s="22">
        <v>11212031</v>
      </c>
      <c r="E28" s="22">
        <f>D28-C28</f>
        <v>343819</v>
      </c>
      <c r="F28" s="23">
        <f>IF(C28=0,0,E28/C28)</f>
        <v>3.1635286466623946E-2</v>
      </c>
    </row>
    <row r="29" spans="1:11" ht="24" customHeight="1" x14ac:dyDescent="0.3">
      <c r="A29" s="24"/>
      <c r="B29" s="25" t="s">
        <v>32</v>
      </c>
      <c r="C29" s="26">
        <f>SUM(C25:C28)</f>
        <v>17574130</v>
      </c>
      <c r="D29" s="26">
        <f>SUM(D25:D28)</f>
        <v>18610177</v>
      </c>
      <c r="E29" s="26">
        <f>D29-C29</f>
        <v>1036047</v>
      </c>
      <c r="F29" s="27">
        <f>IF(C29=0,0,E29/C29)</f>
        <v>5.8952960971609972E-2</v>
      </c>
    </row>
    <row r="30" spans="1:11" ht="15" customHeight="1" x14ac:dyDescent="0.25">
      <c r="A30" s="20"/>
      <c r="B30" s="4"/>
      <c r="C30" s="28"/>
      <c r="D30" s="28"/>
      <c r="E30" s="28"/>
      <c r="F30" s="23"/>
    </row>
    <row r="31" spans="1:11" ht="15" customHeight="1" x14ac:dyDescent="0.25">
      <c r="A31" s="20">
        <v>5</v>
      </c>
      <c r="B31" s="21" t="s">
        <v>33</v>
      </c>
      <c r="C31" s="22">
        <v>6033606</v>
      </c>
      <c r="D31" s="22">
        <v>6287114</v>
      </c>
      <c r="E31" s="22">
        <f>D31-C31</f>
        <v>253508</v>
      </c>
      <c r="F31" s="23">
        <f>IF(C31=0,0,E31/C31)</f>
        <v>4.2016001707768126E-2</v>
      </c>
    </row>
    <row r="32" spans="1:11" ht="24" customHeight="1" x14ac:dyDescent="0.25">
      <c r="A32" s="20">
        <v>6</v>
      </c>
      <c r="B32" s="21" t="s">
        <v>34</v>
      </c>
      <c r="C32" s="22">
        <v>6496418</v>
      </c>
      <c r="D32" s="22">
        <v>7693291</v>
      </c>
      <c r="E32" s="22">
        <f>D32-C32</f>
        <v>1196873</v>
      </c>
      <c r="F32" s="23">
        <f>IF(C32=0,0,E32/C32)</f>
        <v>0.18423583580982628</v>
      </c>
    </row>
    <row r="33" spans="1:8" ht="24" customHeight="1" x14ac:dyDescent="0.25">
      <c r="A33" s="20">
        <v>7</v>
      </c>
      <c r="B33" s="21" t="s">
        <v>35</v>
      </c>
      <c r="C33" s="22">
        <v>4357098</v>
      </c>
      <c r="D33" s="22">
        <v>1414627</v>
      </c>
      <c r="E33" s="22">
        <f>D33-C33</f>
        <v>-2942471</v>
      </c>
      <c r="F33" s="23">
        <f>IF(C33=0,0,E33/C33)</f>
        <v>-0.67532816567357445</v>
      </c>
    </row>
    <row r="34" spans="1:8" ht="15" customHeight="1" x14ac:dyDescent="0.25">
      <c r="A34" s="20"/>
      <c r="B34" s="4"/>
      <c r="C34" s="28"/>
      <c r="D34" s="28"/>
      <c r="E34" s="28"/>
      <c r="F34" s="23"/>
    </row>
    <row r="35" spans="1:8" ht="24" customHeight="1" x14ac:dyDescent="0.3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5">
      <c r="A36" s="20">
        <v>1</v>
      </c>
      <c r="B36" s="21" t="s">
        <v>38</v>
      </c>
      <c r="C36" s="22">
        <v>164441956</v>
      </c>
      <c r="D36" s="22">
        <v>167740171</v>
      </c>
      <c r="E36" s="22">
        <f>D36-C36</f>
        <v>3298215</v>
      </c>
      <c r="F36" s="23">
        <f>IF(C36=0,0,E36/C36)</f>
        <v>2.0057016349282541E-2</v>
      </c>
    </row>
    <row r="37" spans="1:8" ht="24" customHeight="1" x14ac:dyDescent="0.25">
      <c r="A37" s="20">
        <v>2</v>
      </c>
      <c r="B37" s="21" t="s">
        <v>39</v>
      </c>
      <c r="C37" s="22">
        <v>124849240</v>
      </c>
      <c r="D37" s="22">
        <v>131378783</v>
      </c>
      <c r="E37" s="22">
        <f>D37-C37</f>
        <v>6529543</v>
      </c>
      <c r="F37" s="23">
        <f>IF(C37=0,0,E37/C37)</f>
        <v>5.2299421286024647E-2</v>
      </c>
    </row>
    <row r="38" spans="1:8" ht="24" customHeight="1" x14ac:dyDescent="0.3">
      <c r="A38" s="24"/>
      <c r="B38" s="25" t="s">
        <v>40</v>
      </c>
      <c r="C38" s="26">
        <f>C36-C37</f>
        <v>39592716</v>
      </c>
      <c r="D38" s="26">
        <f>D36-D37</f>
        <v>36361388</v>
      </c>
      <c r="E38" s="26">
        <f>D38-C38</f>
        <v>-3231328</v>
      </c>
      <c r="F38" s="27">
        <f>IF(C38=0,0,E38/C38)</f>
        <v>-8.1614203986410019E-2</v>
      </c>
    </row>
    <row r="39" spans="1:8" ht="15" customHeight="1" x14ac:dyDescent="0.25">
      <c r="A39" s="20"/>
      <c r="B39" s="4"/>
      <c r="C39" s="28"/>
      <c r="D39" s="28"/>
      <c r="E39" s="28"/>
      <c r="F39" s="23"/>
    </row>
    <row r="40" spans="1:8" ht="24" customHeight="1" x14ac:dyDescent="0.25">
      <c r="A40" s="20">
        <v>3</v>
      </c>
      <c r="B40" s="21" t="s">
        <v>41</v>
      </c>
      <c r="C40" s="22">
        <v>616812</v>
      </c>
      <c r="D40" s="22">
        <v>645260</v>
      </c>
      <c r="E40" s="22">
        <f>D40-C40</f>
        <v>28448</v>
      </c>
      <c r="F40" s="23">
        <f>IF(C40=0,0,E40/C40)</f>
        <v>4.6121022288801126E-2</v>
      </c>
    </row>
    <row r="41" spans="1:8" ht="24" customHeight="1" x14ac:dyDescent="0.3">
      <c r="A41" s="24"/>
      <c r="B41" s="25" t="s">
        <v>42</v>
      </c>
      <c r="C41" s="26">
        <f>+C38+C40</f>
        <v>40209528</v>
      </c>
      <c r="D41" s="26">
        <f>+D38+D40</f>
        <v>37006648</v>
      </c>
      <c r="E41" s="26">
        <f>D41-C41</f>
        <v>-3202880</v>
      </c>
      <c r="F41" s="27">
        <f>IF(C41=0,0,E41/C41)</f>
        <v>-7.9654752475582402E-2</v>
      </c>
    </row>
    <row r="42" spans="1:8" ht="24" customHeight="1" x14ac:dyDescent="0.25">
      <c r="A42" s="20"/>
      <c r="B42" s="21"/>
      <c r="C42" s="28"/>
      <c r="D42" s="28"/>
      <c r="E42" s="28"/>
      <c r="F42" s="23"/>
    </row>
    <row r="43" spans="1:8" ht="24" customHeight="1" x14ac:dyDescent="0.3">
      <c r="A43" s="24"/>
      <c r="B43" s="25" t="s">
        <v>43</v>
      </c>
      <c r="C43" s="26">
        <f>C22+C29+C31+C32+C33+C41</f>
        <v>111991654</v>
      </c>
      <c r="D43" s="26">
        <f>D22+D29+D31+D32+D33+D41</f>
        <v>108877513</v>
      </c>
      <c r="E43" s="26">
        <f>D43-C43</f>
        <v>-3114141</v>
      </c>
      <c r="F43" s="27">
        <f>IF(C43=0,0,E43/C43)</f>
        <v>-2.7806902467928548E-2</v>
      </c>
    </row>
    <row r="44" spans="1:8" ht="15.75" customHeight="1" x14ac:dyDescent="0.3">
      <c r="A44" s="35"/>
      <c r="B44" s="2"/>
      <c r="C44" s="36"/>
      <c r="D44" s="36"/>
      <c r="E44" s="37"/>
      <c r="F44" s="4"/>
    </row>
    <row r="45" spans="1:8" s="6" customFormat="1" ht="15.75" customHeight="1" x14ac:dyDescent="0.3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3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3">
      <c r="A47" s="16"/>
      <c r="B47" s="7"/>
      <c r="C47" s="39"/>
      <c r="D47" s="39"/>
      <c r="E47" s="40"/>
      <c r="F47" s="16"/>
    </row>
    <row r="48" spans="1:8" ht="15.75" customHeight="1" x14ac:dyDescent="0.3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5">
      <c r="A49" s="20">
        <v>1</v>
      </c>
      <c r="B49" s="21" t="s">
        <v>47</v>
      </c>
      <c r="C49" s="22">
        <v>11966693</v>
      </c>
      <c r="D49" s="22">
        <v>11178710</v>
      </c>
      <c r="E49" s="22">
        <f t="shared" ref="E49:E56" si="2">D49-C49</f>
        <v>-787983</v>
      </c>
      <c r="F49" s="23">
        <f t="shared" ref="F49:F56" si="3">IF(C49=0,0,E49/C49)</f>
        <v>-6.5848016657567801E-2</v>
      </c>
    </row>
    <row r="50" spans="1:6" ht="24" customHeight="1" x14ac:dyDescent="0.25">
      <c r="A50" s="20">
        <f t="shared" ref="A50:A55" si="4">1+A49</f>
        <v>2</v>
      </c>
      <c r="B50" s="21" t="s">
        <v>48</v>
      </c>
      <c r="C50" s="22">
        <v>6634907</v>
      </c>
      <c r="D50" s="22">
        <v>4541897</v>
      </c>
      <c r="E50" s="22">
        <f t="shared" si="2"/>
        <v>-2093010</v>
      </c>
      <c r="F50" s="23">
        <f t="shared" si="3"/>
        <v>-0.31545430855323214</v>
      </c>
    </row>
    <row r="51" spans="1:6" ht="24" customHeight="1" x14ac:dyDescent="0.25">
      <c r="A51" s="20">
        <f t="shared" si="4"/>
        <v>3</v>
      </c>
      <c r="B51" s="21" t="s">
        <v>49</v>
      </c>
      <c r="C51" s="22">
        <v>1130211</v>
      </c>
      <c r="D51" s="22">
        <v>1976385</v>
      </c>
      <c r="E51" s="22">
        <f t="shared" si="2"/>
        <v>846174</v>
      </c>
      <c r="F51" s="23">
        <f t="shared" si="3"/>
        <v>0.7486867496423234</v>
      </c>
    </row>
    <row r="52" spans="1:6" ht="24" customHeight="1" x14ac:dyDescent="0.25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5">
      <c r="A53" s="20">
        <f t="shared" si="4"/>
        <v>5</v>
      </c>
      <c r="B53" s="21" t="s">
        <v>51</v>
      </c>
      <c r="C53" s="22">
        <v>702335</v>
      </c>
      <c r="D53" s="22">
        <v>725900</v>
      </c>
      <c r="E53" s="22">
        <f t="shared" si="2"/>
        <v>23565</v>
      </c>
      <c r="F53" s="23">
        <f t="shared" si="3"/>
        <v>3.3552364612328876E-2</v>
      </c>
    </row>
    <row r="54" spans="1:6" ht="24" customHeight="1" x14ac:dyDescent="0.25">
      <c r="A54" s="20">
        <f t="shared" si="4"/>
        <v>6</v>
      </c>
      <c r="B54" s="21" t="s">
        <v>52</v>
      </c>
      <c r="C54" s="22">
        <v>109090</v>
      </c>
      <c r="D54" s="22">
        <v>109555</v>
      </c>
      <c r="E54" s="22">
        <f t="shared" si="2"/>
        <v>465</v>
      </c>
      <c r="F54" s="23">
        <f t="shared" si="3"/>
        <v>4.2625355211293424E-3</v>
      </c>
    </row>
    <row r="55" spans="1:6" ht="24" customHeight="1" x14ac:dyDescent="0.25">
      <c r="A55" s="20">
        <f t="shared" si="4"/>
        <v>7</v>
      </c>
      <c r="B55" s="21" t="s">
        <v>53</v>
      </c>
      <c r="C55" s="22">
        <v>2490414</v>
      </c>
      <c r="D55" s="22">
        <v>1858414</v>
      </c>
      <c r="E55" s="22">
        <f t="shared" si="2"/>
        <v>-632000</v>
      </c>
      <c r="F55" s="23">
        <f t="shared" si="3"/>
        <v>-0.25377306744982964</v>
      </c>
    </row>
    <row r="56" spans="1:6" ht="24" customHeight="1" x14ac:dyDescent="0.3">
      <c r="A56" s="24"/>
      <c r="B56" s="25" t="s">
        <v>54</v>
      </c>
      <c r="C56" s="26">
        <f>SUM(C49:C55)</f>
        <v>23033650</v>
      </c>
      <c r="D56" s="26">
        <f>SUM(D49:D55)</f>
        <v>20390861</v>
      </c>
      <c r="E56" s="26">
        <f t="shared" si="2"/>
        <v>-2642789</v>
      </c>
      <c r="F56" s="27">
        <f t="shared" si="3"/>
        <v>-0.11473600580020969</v>
      </c>
    </row>
    <row r="57" spans="1:6" ht="24" customHeight="1" x14ac:dyDescent="0.3">
      <c r="A57" s="20"/>
      <c r="B57" s="25"/>
      <c r="C57" s="42"/>
      <c r="D57" s="42"/>
      <c r="E57" s="42"/>
      <c r="F57" s="27"/>
    </row>
    <row r="58" spans="1:6" ht="15.75" customHeight="1" x14ac:dyDescent="0.3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5">
      <c r="A59" s="20">
        <v>1</v>
      </c>
      <c r="B59" s="21" t="s">
        <v>56</v>
      </c>
      <c r="C59" s="22">
        <v>24560239</v>
      </c>
      <c r="D59" s="22">
        <v>23189039</v>
      </c>
      <c r="E59" s="22">
        <f>D59-C59</f>
        <v>-1371200</v>
      </c>
      <c r="F59" s="23">
        <f>IF(C59=0,0,E59/C59)</f>
        <v>-5.5830075594948403E-2</v>
      </c>
    </row>
    <row r="60" spans="1:6" ht="24" customHeight="1" x14ac:dyDescent="0.25">
      <c r="A60" s="20">
        <v>2</v>
      </c>
      <c r="B60" s="21" t="s">
        <v>57</v>
      </c>
      <c r="C60" s="22">
        <v>464171</v>
      </c>
      <c r="D60" s="22">
        <v>354617</v>
      </c>
      <c r="E60" s="22">
        <f>D60-C60</f>
        <v>-109554</v>
      </c>
      <c r="F60" s="23">
        <f>IF(C60=0,0,E60/C60)</f>
        <v>-0.23602077682578188</v>
      </c>
    </row>
    <row r="61" spans="1:6" ht="24" customHeight="1" x14ac:dyDescent="0.3">
      <c r="A61" s="24"/>
      <c r="B61" s="25" t="s">
        <v>58</v>
      </c>
      <c r="C61" s="26">
        <f>SUM(C59:C60)</f>
        <v>25024410</v>
      </c>
      <c r="D61" s="26">
        <f>SUM(D59:D60)</f>
        <v>23543656</v>
      </c>
      <c r="E61" s="26">
        <f>D61-C61</f>
        <v>-1480754</v>
      </c>
      <c r="F61" s="27">
        <f>IF(C61=0,0,E61/C61)</f>
        <v>-5.9172384084180206E-2</v>
      </c>
    </row>
    <row r="62" spans="1:6" ht="15" customHeight="1" x14ac:dyDescent="0.25">
      <c r="A62" s="20"/>
      <c r="B62" s="4"/>
      <c r="C62" s="28"/>
      <c r="D62" s="28"/>
      <c r="E62" s="28"/>
      <c r="F62" s="23"/>
    </row>
    <row r="63" spans="1:6" ht="24" customHeight="1" x14ac:dyDescent="0.25">
      <c r="A63" s="20">
        <v>3</v>
      </c>
      <c r="B63" s="21" t="s">
        <v>59</v>
      </c>
      <c r="C63" s="22">
        <v>32795767</v>
      </c>
      <c r="D63" s="22">
        <v>38325259</v>
      </c>
      <c r="E63" s="22">
        <f>D63-C63</f>
        <v>5529492</v>
      </c>
      <c r="F63" s="23">
        <f>IF(C63=0,0,E63/C63)</f>
        <v>0.16860383231775003</v>
      </c>
    </row>
    <row r="64" spans="1:6" ht="24" customHeight="1" x14ac:dyDescent="0.25">
      <c r="A64" s="20">
        <v>4</v>
      </c>
      <c r="B64" s="21" t="s">
        <v>60</v>
      </c>
      <c r="C64" s="22">
        <v>9230355</v>
      </c>
      <c r="D64" s="22">
        <v>10118856</v>
      </c>
      <c r="E64" s="22">
        <f>D64-C64</f>
        <v>888501</v>
      </c>
      <c r="F64" s="23">
        <f>IF(C64=0,0,E64/C64)</f>
        <v>9.6258594604432868E-2</v>
      </c>
    </row>
    <row r="65" spans="1:6" ht="24" customHeight="1" x14ac:dyDescent="0.3">
      <c r="A65" s="24"/>
      <c r="B65" s="25" t="s">
        <v>61</v>
      </c>
      <c r="C65" s="26">
        <f>SUM(C61:C64)</f>
        <v>67050532</v>
      </c>
      <c r="D65" s="26">
        <f>SUM(D61:D64)</f>
        <v>71987771</v>
      </c>
      <c r="E65" s="26">
        <f>D65-C65</f>
        <v>4937239</v>
      </c>
      <c r="F65" s="27">
        <f>IF(C65=0,0,E65/C65)</f>
        <v>7.3634598454789299E-2</v>
      </c>
    </row>
    <row r="66" spans="1:6" ht="24" customHeight="1" x14ac:dyDescent="0.25">
      <c r="B66" s="4"/>
      <c r="C66" s="28"/>
      <c r="D66" s="28"/>
      <c r="E66" s="28"/>
      <c r="F66" s="23"/>
    </row>
    <row r="67" spans="1:6" s="46" customFormat="1" ht="15" customHeight="1" x14ac:dyDescent="0.3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5">
      <c r="B68" s="4"/>
      <c r="C68" s="28"/>
      <c r="D68" s="28"/>
      <c r="E68" s="28"/>
      <c r="F68" s="23"/>
    </row>
    <row r="69" spans="1:6" ht="15.75" customHeight="1" x14ac:dyDescent="0.3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5">
      <c r="A70" s="20">
        <v>1</v>
      </c>
      <c r="B70" s="21" t="s">
        <v>64</v>
      </c>
      <c r="C70" s="22">
        <v>11995043</v>
      </c>
      <c r="D70" s="22">
        <v>6457317</v>
      </c>
      <c r="E70" s="22">
        <f>D70-C70</f>
        <v>-5537726</v>
      </c>
      <c r="F70" s="23">
        <f>IF(C70=0,0,E70/C70)</f>
        <v>-0.4616678739709395</v>
      </c>
    </row>
    <row r="71" spans="1:6" ht="24" customHeight="1" x14ac:dyDescent="0.25">
      <c r="A71" s="20">
        <v>2</v>
      </c>
      <c r="B71" s="21" t="s">
        <v>65</v>
      </c>
      <c r="C71" s="22">
        <v>3122057</v>
      </c>
      <c r="D71" s="22">
        <v>3144717</v>
      </c>
      <c r="E71" s="22">
        <f>D71-C71</f>
        <v>22660</v>
      </c>
      <c r="F71" s="23">
        <f>IF(C71=0,0,E71/C71)</f>
        <v>7.2580353273498854E-3</v>
      </c>
    </row>
    <row r="72" spans="1:6" ht="24" customHeight="1" x14ac:dyDescent="0.25">
      <c r="A72" s="20">
        <v>3</v>
      </c>
      <c r="B72" s="21" t="s">
        <v>66</v>
      </c>
      <c r="C72" s="22">
        <v>6790372</v>
      </c>
      <c r="D72" s="22">
        <v>6896847</v>
      </c>
      <c r="E72" s="22">
        <f>D72-C72</f>
        <v>106475</v>
      </c>
      <c r="F72" s="23">
        <f>IF(C72=0,0,E72/C72)</f>
        <v>1.5680289680742088E-2</v>
      </c>
    </row>
    <row r="73" spans="1:6" ht="24" customHeight="1" x14ac:dyDescent="0.3">
      <c r="A73" s="20"/>
      <c r="B73" s="25" t="s">
        <v>67</v>
      </c>
      <c r="C73" s="26">
        <f>SUM(C70:C72)</f>
        <v>21907472</v>
      </c>
      <c r="D73" s="26">
        <f>SUM(D70:D72)</f>
        <v>16498881</v>
      </c>
      <c r="E73" s="26">
        <f>D73-C73</f>
        <v>-5408591</v>
      </c>
      <c r="F73" s="27">
        <f>IF(C73=0,0,E73/C73)</f>
        <v>-0.24688339211388699</v>
      </c>
    </row>
    <row r="74" spans="1:6" ht="24" customHeight="1" x14ac:dyDescent="0.3">
      <c r="B74" s="25"/>
      <c r="C74" s="28"/>
      <c r="D74" s="28"/>
      <c r="E74" s="28"/>
      <c r="F74" s="23"/>
    </row>
    <row r="75" spans="1:6" ht="15.75" customHeight="1" x14ac:dyDescent="0.3">
      <c r="A75" s="20"/>
      <c r="B75" s="25" t="s">
        <v>68</v>
      </c>
      <c r="C75" s="26">
        <f>C56+C65+C67+C73</f>
        <v>111991654</v>
      </c>
      <c r="D75" s="26">
        <f>D56+D65+D67+D73</f>
        <v>108877513</v>
      </c>
      <c r="E75" s="26">
        <f>D75-C75</f>
        <v>-3114141</v>
      </c>
      <c r="F75" s="27">
        <f>IF(C75=0,0,E75/C75)</f>
        <v>-2.7806902467928548E-2</v>
      </c>
    </row>
    <row r="76" spans="1:6" ht="24" customHeight="1" x14ac:dyDescent="0.3">
      <c r="B76" s="25"/>
      <c r="C76" s="42"/>
      <c r="D76" s="42"/>
      <c r="E76" s="42"/>
      <c r="F76" s="27"/>
    </row>
    <row r="77" spans="1:6" ht="24" customHeight="1" x14ac:dyDescent="0.3">
      <c r="A77" s="29"/>
      <c r="B77" s="47"/>
      <c r="C77" s="26"/>
      <c r="D77" s="26"/>
      <c r="E77" s="26"/>
      <c r="F77" s="27"/>
    </row>
    <row r="78" spans="1:6" ht="24" customHeight="1" x14ac:dyDescent="0.3">
      <c r="A78" s="20"/>
      <c r="B78" s="48"/>
      <c r="C78" s="49"/>
      <c r="D78" s="49"/>
      <c r="E78" s="49"/>
      <c r="F78" s="27"/>
    </row>
    <row r="79" spans="1:6" ht="47.25" customHeight="1" x14ac:dyDescent="0.3">
      <c r="A79" s="20"/>
      <c r="B79" s="50"/>
      <c r="C79" s="51"/>
      <c r="D79" s="51"/>
      <c r="E79" s="52"/>
      <c r="F79" s="27"/>
    </row>
    <row r="80" spans="1:6" ht="24" customHeight="1" x14ac:dyDescent="0.3">
      <c r="A80" s="20"/>
      <c r="B80" s="25"/>
      <c r="C80" s="26"/>
      <c r="D80" s="26"/>
      <c r="E80" s="53"/>
      <c r="F80" s="27"/>
    </row>
    <row r="81" spans="1:6" ht="24" customHeight="1" x14ac:dyDescent="0.3">
      <c r="A81" s="20"/>
      <c r="B81" s="25"/>
      <c r="C81" s="26"/>
      <c r="D81" s="26"/>
      <c r="E81" s="53"/>
      <c r="F81" s="27"/>
    </row>
    <row r="82" spans="1:6" ht="24" customHeight="1" x14ac:dyDescent="0.25">
      <c r="A82" s="20"/>
      <c r="B82" s="20"/>
      <c r="C82" s="54"/>
      <c r="D82" s="4"/>
      <c r="E82" s="4"/>
      <c r="F82" s="4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6"/>
      <c r="H100" s="11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6"/>
      <c r="H118" s="11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6"/>
      <c r="H128" s="11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ageMargins left="0.25" right="0.25" top="0.5" bottom="0.5" header="0.25" footer="0.25"/>
  <pageSetup scale="70" fitToHeight="0" orientation="portrait" r:id="rId1"/>
  <headerFooter>
    <oddHeader>&amp;LOFFICE OF HEALTH CARE ACCESS&amp;CTWELVE MONTHS ACTUAL FILING&amp;RBRISTOL HOSPITAL</oddHeader>
    <oddFooter>&amp;LREPORT 165&amp;C&amp;P of &amp;N&amp;R&amp;D,&amp;T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sqref="A1:F1"/>
    </sheetView>
  </sheetViews>
  <sheetFormatPr defaultColWidth="9.109375" defaultRowHeight="24" customHeight="1" x14ac:dyDescent="0.25"/>
  <cols>
    <col min="1" max="1" width="5.6640625" style="56" customWidth="1"/>
    <col min="2" max="2" width="61.88671875" style="56" customWidth="1"/>
    <col min="3" max="3" width="22.6640625" style="56" customWidth="1"/>
    <col min="4" max="4" width="20.5546875" style="56" customWidth="1"/>
    <col min="5" max="6" width="19" style="225" customWidth="1"/>
    <col min="7" max="7" width="18.6640625" style="56" customWidth="1"/>
    <col min="8" max="16384" width="9.109375" style="56"/>
  </cols>
  <sheetData>
    <row r="1" spans="1:6" ht="24" customHeight="1" x14ac:dyDescent="0.3">
      <c r="A1" s="766" t="s">
        <v>500</v>
      </c>
      <c r="B1" s="767"/>
      <c r="C1" s="767"/>
      <c r="D1" s="767"/>
      <c r="E1" s="768"/>
    </row>
    <row r="2" spans="1:6" ht="24" customHeight="1" x14ac:dyDescent="0.3">
      <c r="A2" s="766" t="s">
        <v>1</v>
      </c>
      <c r="B2" s="767"/>
      <c r="C2" s="767"/>
      <c r="D2" s="767"/>
      <c r="E2" s="768"/>
    </row>
    <row r="3" spans="1:6" ht="24" customHeight="1" x14ac:dyDescent="0.3">
      <c r="A3" s="766" t="s">
        <v>2</v>
      </c>
      <c r="B3" s="767"/>
      <c r="C3" s="767"/>
      <c r="D3" s="767"/>
      <c r="E3" s="768"/>
    </row>
    <row r="4" spans="1:6" ht="24" customHeight="1" x14ac:dyDescent="0.3">
      <c r="A4" s="766" t="s">
        <v>504</v>
      </c>
      <c r="B4" s="767"/>
      <c r="C4" s="767"/>
      <c r="D4" s="767"/>
      <c r="E4" s="768"/>
    </row>
    <row r="5" spans="1:6" ht="24" customHeight="1" x14ac:dyDescent="0.3">
      <c r="A5" s="766"/>
      <c r="B5" s="767"/>
      <c r="C5" s="767"/>
      <c r="D5" s="767"/>
      <c r="E5" s="768"/>
    </row>
    <row r="6" spans="1:6" ht="24" customHeight="1" x14ac:dyDescent="0.3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3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3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3">
      <c r="B9" s="62"/>
      <c r="C9" s="68"/>
      <c r="D9" s="68"/>
      <c r="E9" s="73"/>
      <c r="F9" s="73"/>
    </row>
    <row r="10" spans="1:6" ht="24" customHeight="1" x14ac:dyDescent="0.3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3">
      <c r="A11" s="85">
        <v>1</v>
      </c>
      <c r="B11" s="75" t="s">
        <v>507</v>
      </c>
      <c r="C11" s="76">
        <v>168232406</v>
      </c>
      <c r="D11" s="76">
        <v>166109451</v>
      </c>
      <c r="E11" s="76">
        <v>169423693</v>
      </c>
      <c r="F11" s="80"/>
    </row>
    <row r="12" spans="1:6" ht="24" customHeight="1" x14ac:dyDescent="0.3">
      <c r="A12" s="85">
        <v>2</v>
      </c>
      <c r="B12" s="75" t="s">
        <v>78</v>
      </c>
      <c r="C12" s="185">
        <v>7836353</v>
      </c>
      <c r="D12" s="185">
        <v>6317978</v>
      </c>
      <c r="E12" s="185">
        <v>5919418</v>
      </c>
      <c r="F12" s="80"/>
    </row>
    <row r="13" spans="1:6" s="225" customFormat="1" ht="24" customHeight="1" x14ac:dyDescent="0.25">
      <c r="A13" s="85">
        <v>3</v>
      </c>
      <c r="B13" s="75" t="s">
        <v>80</v>
      </c>
      <c r="C13" s="76">
        <f>+C11+C12</f>
        <v>176068759</v>
      </c>
      <c r="D13" s="76">
        <f>+D11+D12</f>
        <v>172427429</v>
      </c>
      <c r="E13" s="76">
        <f>+E11+E12</f>
        <v>175343111</v>
      </c>
      <c r="F13" s="77"/>
    </row>
    <row r="14" spans="1:6" s="225" customFormat="1" ht="24" customHeight="1" x14ac:dyDescent="0.25">
      <c r="A14" s="85">
        <v>4</v>
      </c>
      <c r="B14" s="75" t="s">
        <v>91</v>
      </c>
      <c r="C14" s="185">
        <v>175386378</v>
      </c>
      <c r="D14" s="185">
        <v>172340088</v>
      </c>
      <c r="E14" s="185">
        <v>176835839</v>
      </c>
      <c r="F14" s="77"/>
    </row>
    <row r="15" spans="1:6" s="225" customFormat="1" ht="24" customHeight="1" x14ac:dyDescent="0.25">
      <c r="A15" s="85">
        <v>5</v>
      </c>
      <c r="B15" s="75" t="s">
        <v>92</v>
      </c>
      <c r="C15" s="76">
        <f>+C13-C14</f>
        <v>682381</v>
      </c>
      <c r="D15" s="76">
        <f>+D13-D14</f>
        <v>87341</v>
      </c>
      <c r="E15" s="76">
        <f>+E13-E14</f>
        <v>-1492728</v>
      </c>
      <c r="F15" s="77"/>
    </row>
    <row r="16" spans="1:6" s="225" customFormat="1" ht="24" customHeight="1" x14ac:dyDescent="0.25">
      <c r="A16" s="85">
        <v>6</v>
      </c>
      <c r="B16" s="75" t="s">
        <v>97</v>
      </c>
      <c r="C16" s="185">
        <v>1478569</v>
      </c>
      <c r="D16" s="185">
        <v>997043</v>
      </c>
      <c r="E16" s="185">
        <v>1304934</v>
      </c>
      <c r="F16" s="77"/>
    </row>
    <row r="17" spans="1:14" s="225" customFormat="1" ht="24" customHeight="1" x14ac:dyDescent="0.25">
      <c r="A17" s="85">
        <v>7</v>
      </c>
      <c r="B17" s="330" t="s">
        <v>321</v>
      </c>
      <c r="C17" s="76">
        <f>C15+C16</f>
        <v>2160950</v>
      </c>
      <c r="D17" s="76">
        <f>D15+D16</f>
        <v>1084384</v>
      </c>
      <c r="E17" s="76">
        <f>E15+E16</f>
        <v>-187794</v>
      </c>
      <c r="F17" s="77"/>
    </row>
    <row r="18" spans="1:14" ht="24" customHeight="1" x14ac:dyDescent="0.3">
      <c r="A18" s="85"/>
      <c r="B18" s="330"/>
      <c r="C18" s="187"/>
      <c r="D18" s="187"/>
      <c r="E18" s="188"/>
      <c r="F18" s="80"/>
    </row>
    <row r="19" spans="1:14" ht="24" customHeight="1" x14ac:dyDescent="0.3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3">
      <c r="A20" s="332">
        <v>1</v>
      </c>
      <c r="B20" s="330" t="s">
        <v>509</v>
      </c>
      <c r="C20" s="189">
        <f>IF(+C27=0,0,+C24/+C27)</f>
        <v>3.8433752154242501E-3</v>
      </c>
      <c r="D20" s="189">
        <f>IF(+D27=0,0,+D24/+D27)</f>
        <v>5.0362557828632166E-4</v>
      </c>
      <c r="E20" s="189">
        <f>IF(+E27=0,0,+E24/+E27)</f>
        <v>-8.4502944824552118E-3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3">
      <c r="A21" s="332">
        <v>2</v>
      </c>
      <c r="B21" s="330" t="s">
        <v>510</v>
      </c>
      <c r="C21" s="189">
        <f>IF(+C27=0,0,+C26/+C27)</f>
        <v>8.3277457152157192E-3</v>
      </c>
      <c r="D21" s="189">
        <f>IF(+D27=0,0,+D26/+D27)</f>
        <v>5.7491482516954127E-3</v>
      </c>
      <c r="E21" s="189">
        <f>IF(+E27=0,0,+E26/+E27)</f>
        <v>7.3871975203574991E-3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3">
      <c r="A22" s="332">
        <v>3</v>
      </c>
      <c r="B22" s="330" t="s">
        <v>511</v>
      </c>
      <c r="C22" s="189">
        <f>IF(+C27=0,0,+C28/+C27)</f>
        <v>1.217112093063997E-2</v>
      </c>
      <c r="D22" s="189">
        <f>IF(+D27=0,0,+D28/+D27)</f>
        <v>6.252773829981734E-3</v>
      </c>
      <c r="E22" s="189">
        <f>IF(+E27=0,0,+E28/+E27)</f>
        <v>-1.0630969620977124E-3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3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3">
      <c r="A24" s="226">
        <v>4</v>
      </c>
      <c r="B24" s="75" t="s">
        <v>92</v>
      </c>
      <c r="C24" s="76">
        <f>+C15</f>
        <v>682381</v>
      </c>
      <c r="D24" s="76">
        <f>+D15</f>
        <v>87341</v>
      </c>
      <c r="E24" s="76">
        <f>+E15</f>
        <v>-1492728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3">
      <c r="A25" s="226">
        <v>5</v>
      </c>
      <c r="B25" s="75" t="s">
        <v>80</v>
      </c>
      <c r="C25" s="76">
        <f>+C13</f>
        <v>176068759</v>
      </c>
      <c r="D25" s="76">
        <f>+D13</f>
        <v>172427429</v>
      </c>
      <c r="E25" s="76">
        <f>+E13</f>
        <v>175343111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3">
      <c r="A26" s="226">
        <v>6</v>
      </c>
      <c r="B26" s="75" t="s">
        <v>97</v>
      </c>
      <c r="C26" s="76">
        <f>+C16</f>
        <v>1478569</v>
      </c>
      <c r="D26" s="76">
        <f>+D16</f>
        <v>997043</v>
      </c>
      <c r="E26" s="76">
        <f>+E16</f>
        <v>1304934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3">
      <c r="A27" s="226">
        <v>7</v>
      </c>
      <c r="B27" s="75" t="s">
        <v>326</v>
      </c>
      <c r="C27" s="76">
        <f>SUM(C25:C26)</f>
        <v>177547328</v>
      </c>
      <c r="D27" s="76">
        <f>SUM(D25:D26)</f>
        <v>173424472</v>
      </c>
      <c r="E27" s="76">
        <f>SUM(E25:E26)</f>
        <v>176648045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3">
      <c r="A28" s="226">
        <v>8</v>
      </c>
      <c r="B28" s="330" t="s">
        <v>321</v>
      </c>
      <c r="C28" s="76">
        <f>+C17</f>
        <v>2160950</v>
      </c>
      <c r="D28" s="76">
        <f>+D17</f>
        <v>1084384</v>
      </c>
      <c r="E28" s="76">
        <f>+E17</f>
        <v>-187794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3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3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3">
      <c r="A31" s="85">
        <v>1</v>
      </c>
      <c r="B31" s="75" t="s">
        <v>513</v>
      </c>
      <c r="C31" s="76">
        <v>18611817</v>
      </c>
      <c r="D31" s="76">
        <v>12974320</v>
      </c>
      <c r="E31" s="76">
        <v>9388599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3">
      <c r="A32" s="74">
        <v>2</v>
      </c>
      <c r="B32" s="75" t="s">
        <v>514</v>
      </c>
      <c r="C32" s="76">
        <v>29431435</v>
      </c>
      <c r="D32" s="76">
        <v>22895820</v>
      </c>
      <c r="E32" s="76">
        <v>19442859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3">
      <c r="A33" s="74">
        <v>3</v>
      </c>
      <c r="B33" s="330" t="s">
        <v>515</v>
      </c>
      <c r="C33" s="76">
        <v>823710</v>
      </c>
      <c r="D33" s="76">
        <f>+D32-C32</f>
        <v>-6535615</v>
      </c>
      <c r="E33" s="76">
        <f>+E32-D32</f>
        <v>-3452961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3">
      <c r="A34" s="74">
        <v>4</v>
      </c>
      <c r="B34" s="330" t="s">
        <v>516</v>
      </c>
      <c r="C34" s="193">
        <v>1.0286999999999999</v>
      </c>
      <c r="D34" s="193">
        <f>IF(C32=0,0,+D33/C32)</f>
        <v>-0.22206239688958421</v>
      </c>
      <c r="E34" s="193">
        <f>IF(D32=0,0,+E33/D32)</f>
        <v>-0.15081185124620999</v>
      </c>
      <c r="F34" s="80"/>
    </row>
    <row r="35" spans="1:14" ht="24" customHeight="1" x14ac:dyDescent="0.3">
      <c r="E35" s="56"/>
      <c r="F35" s="80"/>
    </row>
    <row r="36" spans="1:14" ht="15.75" customHeight="1" x14ac:dyDescent="0.3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3">
      <c r="A37" s="333"/>
      <c r="B37" s="334"/>
      <c r="C37" s="335"/>
      <c r="D37" s="335"/>
      <c r="E37" s="336"/>
      <c r="F37" s="80"/>
    </row>
    <row r="38" spans="1:14" ht="24" customHeight="1" x14ac:dyDescent="0.3">
      <c r="A38" s="333">
        <v>1</v>
      </c>
      <c r="B38" s="337" t="s">
        <v>353</v>
      </c>
      <c r="C38" s="338">
        <f>IF(+C40=0,0,+C39/+C40)</f>
        <v>1.4582781201553805</v>
      </c>
      <c r="D38" s="338">
        <f>IF(+D40=0,0,+D39/+D40)</f>
        <v>1.6662651661718928</v>
      </c>
      <c r="E38" s="338">
        <f>IF(+E40=0,0,+E39/+E40)</f>
        <v>1.802091867848556</v>
      </c>
      <c r="F38" s="80"/>
    </row>
    <row r="39" spans="1:14" ht="24" customHeight="1" x14ac:dyDescent="0.3">
      <c r="A39" s="339">
        <v>2</v>
      </c>
      <c r="B39" s="340" t="s">
        <v>25</v>
      </c>
      <c r="C39" s="341">
        <v>46812673</v>
      </c>
      <c r="D39" s="341">
        <v>46867022</v>
      </c>
      <c r="E39" s="341">
        <v>45697114</v>
      </c>
      <c r="F39" s="80"/>
    </row>
    <row r="40" spans="1:14" ht="24" customHeight="1" x14ac:dyDescent="0.25">
      <c r="A40" s="339">
        <v>3</v>
      </c>
      <c r="B40" s="340" t="s">
        <v>54</v>
      </c>
      <c r="C40" s="341">
        <v>32101334</v>
      </c>
      <c r="D40" s="341">
        <v>28126989</v>
      </c>
      <c r="E40" s="341">
        <v>25357816</v>
      </c>
    </row>
    <row r="41" spans="1:14" ht="24" customHeight="1" x14ac:dyDescent="0.3">
      <c r="A41" s="339"/>
      <c r="B41" s="342"/>
      <c r="C41" s="335"/>
      <c r="D41" s="335"/>
      <c r="E41" s="336"/>
    </row>
    <row r="42" spans="1:14" ht="24" customHeight="1" x14ac:dyDescent="0.3">
      <c r="A42" s="333">
        <v>4</v>
      </c>
      <c r="B42" s="337" t="s">
        <v>354</v>
      </c>
      <c r="C42" s="343">
        <f>IF((C48/365)=0,0,+C45/(C48/365))</f>
        <v>40.574296524282069</v>
      </c>
      <c r="D42" s="343">
        <f>IF((D48/365)=0,0,+D45/(D48/365))</f>
        <v>45.53800021939346</v>
      </c>
      <c r="E42" s="343">
        <f>IF((E48/365)=0,0,+E45/(E48/365))</f>
        <v>36.676371232412833</v>
      </c>
    </row>
    <row r="43" spans="1:14" ht="24" customHeight="1" x14ac:dyDescent="0.25">
      <c r="A43" s="339">
        <v>5</v>
      </c>
      <c r="B43" s="344" t="s">
        <v>16</v>
      </c>
      <c r="C43" s="345">
        <v>18575899</v>
      </c>
      <c r="D43" s="345">
        <v>20508378</v>
      </c>
      <c r="E43" s="345">
        <v>17006513</v>
      </c>
    </row>
    <row r="44" spans="1:14" ht="24" customHeight="1" x14ac:dyDescent="0.25">
      <c r="A44" s="339">
        <v>6</v>
      </c>
      <c r="B44" s="346" t="s">
        <v>17</v>
      </c>
      <c r="C44" s="345">
        <v>96550</v>
      </c>
      <c r="D44" s="345">
        <v>0</v>
      </c>
      <c r="E44" s="345">
        <v>0</v>
      </c>
    </row>
    <row r="45" spans="1:14" ht="24" customHeight="1" x14ac:dyDescent="0.25">
      <c r="A45" s="339">
        <v>7</v>
      </c>
      <c r="B45" s="340" t="s">
        <v>355</v>
      </c>
      <c r="C45" s="341">
        <f>+C43+C44</f>
        <v>18672449</v>
      </c>
      <c r="D45" s="341">
        <f>+D43+D44</f>
        <v>20508378</v>
      </c>
      <c r="E45" s="341">
        <f>+E43+E44</f>
        <v>17006513</v>
      </c>
    </row>
    <row r="46" spans="1:14" ht="24" customHeight="1" x14ac:dyDescent="0.25">
      <c r="A46" s="339">
        <v>8</v>
      </c>
      <c r="B46" s="340" t="s">
        <v>334</v>
      </c>
      <c r="C46" s="341">
        <f>+C14</f>
        <v>175386378</v>
      </c>
      <c r="D46" s="341">
        <f>+D14</f>
        <v>172340088</v>
      </c>
      <c r="E46" s="341">
        <f>+E14</f>
        <v>176835839</v>
      </c>
    </row>
    <row r="47" spans="1:14" ht="24" customHeight="1" x14ac:dyDescent="0.25">
      <c r="A47" s="339">
        <v>9</v>
      </c>
      <c r="B47" s="340" t="s">
        <v>356</v>
      </c>
      <c r="C47" s="341">
        <v>7411959</v>
      </c>
      <c r="D47" s="341">
        <v>7959616</v>
      </c>
      <c r="E47" s="341">
        <v>7588527</v>
      </c>
    </row>
    <row r="48" spans="1:14" ht="24" customHeight="1" x14ac:dyDescent="0.25">
      <c r="A48" s="339">
        <v>10</v>
      </c>
      <c r="B48" s="340" t="s">
        <v>357</v>
      </c>
      <c r="C48" s="341">
        <f>+C46-C47</f>
        <v>167974419</v>
      </c>
      <c r="D48" s="341">
        <f>+D46-D47</f>
        <v>164380472</v>
      </c>
      <c r="E48" s="341">
        <f>+E46-E47</f>
        <v>169247312</v>
      </c>
    </row>
    <row r="49" spans="1:5" ht="24" customHeight="1" x14ac:dyDescent="0.3">
      <c r="A49" s="347"/>
      <c r="B49" s="342"/>
      <c r="C49" s="348"/>
      <c r="D49" s="348"/>
      <c r="E49" s="349"/>
    </row>
    <row r="50" spans="1:5" ht="24" customHeight="1" x14ac:dyDescent="0.3">
      <c r="A50" s="333">
        <v>11</v>
      </c>
      <c r="B50" s="337" t="s">
        <v>358</v>
      </c>
      <c r="C50" s="350">
        <f>IF((C55/365)=0,0,+C54/(C55/365))</f>
        <v>45.951499796061881</v>
      </c>
      <c r="D50" s="350">
        <f>IF((D55/365)=0,0,+D54/(D55/365))</f>
        <v>40.906443938581191</v>
      </c>
      <c r="E50" s="350">
        <f>IF((E55/365)=0,0,+E54/(E55/365))</f>
        <v>40.03505135494833</v>
      </c>
    </row>
    <row r="51" spans="1:5" ht="24" customHeight="1" x14ac:dyDescent="0.25">
      <c r="A51" s="339">
        <v>12</v>
      </c>
      <c r="B51" s="344" t="s">
        <v>359</v>
      </c>
      <c r="C51" s="351">
        <v>20598344</v>
      </c>
      <c r="D51" s="351">
        <v>19746504</v>
      </c>
      <c r="E51" s="351">
        <v>20559635</v>
      </c>
    </row>
    <row r="52" spans="1:5" ht="24" customHeight="1" x14ac:dyDescent="0.25">
      <c r="A52" s="339">
        <v>13</v>
      </c>
      <c r="B52" s="344" t="s">
        <v>21</v>
      </c>
      <c r="C52" s="341">
        <v>581194</v>
      </c>
      <c r="D52" s="341">
        <v>0</v>
      </c>
      <c r="E52" s="341">
        <v>0</v>
      </c>
    </row>
    <row r="53" spans="1:5" ht="24" customHeight="1" x14ac:dyDescent="0.25">
      <c r="A53" s="339">
        <v>14</v>
      </c>
      <c r="B53" s="344" t="s">
        <v>49</v>
      </c>
      <c r="C53" s="341">
        <v>0</v>
      </c>
      <c r="D53" s="341">
        <v>1130211</v>
      </c>
      <c r="E53" s="341">
        <v>1976385</v>
      </c>
    </row>
    <row r="54" spans="1:5" ht="33.9" customHeight="1" x14ac:dyDescent="0.25">
      <c r="A54" s="339">
        <v>15</v>
      </c>
      <c r="B54" s="340" t="s">
        <v>360</v>
      </c>
      <c r="C54" s="352">
        <f>+C51+C52-C53</f>
        <v>21179538</v>
      </c>
      <c r="D54" s="352">
        <f>+D51+D52-D53</f>
        <v>18616293</v>
      </c>
      <c r="E54" s="352">
        <f>+E51+E52-E53</f>
        <v>18583250</v>
      </c>
    </row>
    <row r="55" spans="1:5" ht="24" customHeight="1" x14ac:dyDescent="0.25">
      <c r="A55" s="339">
        <v>16</v>
      </c>
      <c r="B55" s="340" t="s">
        <v>75</v>
      </c>
      <c r="C55" s="341">
        <f>+C11</f>
        <v>168232406</v>
      </c>
      <c r="D55" s="341">
        <f>+D11</f>
        <v>166109451</v>
      </c>
      <c r="E55" s="341">
        <f>+E11</f>
        <v>169423693</v>
      </c>
    </row>
    <row r="56" spans="1:5" ht="24" customHeight="1" x14ac:dyDescent="0.25">
      <c r="A56" s="347"/>
      <c r="B56" s="340"/>
      <c r="C56" s="353"/>
      <c r="D56" s="354"/>
      <c r="E56" s="354"/>
    </row>
    <row r="57" spans="1:5" ht="24" customHeight="1" x14ac:dyDescent="0.3">
      <c r="A57" s="333">
        <v>17</v>
      </c>
      <c r="B57" s="337" t="s">
        <v>361</v>
      </c>
      <c r="C57" s="355">
        <f>IF((C61/365)=0,0,+C58/(C61/365))</f>
        <v>69.754591084491267</v>
      </c>
      <c r="D57" s="355">
        <f>IF((D61/365)=0,0,+D58/(D61/365))</f>
        <v>62.454809017703759</v>
      </c>
      <c r="E57" s="355">
        <f>IF((E61/365)=0,0,+E58/(E61/365))</f>
        <v>54.686852810991759</v>
      </c>
    </row>
    <row r="58" spans="1:5" ht="24" customHeight="1" x14ac:dyDescent="0.25">
      <c r="A58" s="339">
        <v>18</v>
      </c>
      <c r="B58" s="340" t="s">
        <v>54</v>
      </c>
      <c r="C58" s="353">
        <f>+C40</f>
        <v>32101334</v>
      </c>
      <c r="D58" s="353">
        <f>+D40</f>
        <v>28126989</v>
      </c>
      <c r="E58" s="353">
        <f>+E40</f>
        <v>25357816</v>
      </c>
    </row>
    <row r="59" spans="1:5" ht="24" customHeight="1" x14ac:dyDescent="0.25">
      <c r="A59" s="339">
        <v>19</v>
      </c>
      <c r="B59" s="340" t="s">
        <v>334</v>
      </c>
      <c r="C59" s="353">
        <f t="shared" ref="C59:E60" si="0">+C46</f>
        <v>175386378</v>
      </c>
      <c r="D59" s="353">
        <f t="shared" si="0"/>
        <v>172340088</v>
      </c>
      <c r="E59" s="353">
        <f t="shared" si="0"/>
        <v>176835839</v>
      </c>
    </row>
    <row r="60" spans="1:5" ht="24" customHeight="1" x14ac:dyDescent="0.25">
      <c r="A60" s="339">
        <v>20</v>
      </c>
      <c r="B60" s="340" t="s">
        <v>356</v>
      </c>
      <c r="C60" s="356">
        <f t="shared" si="0"/>
        <v>7411959</v>
      </c>
      <c r="D60" s="356">
        <f t="shared" si="0"/>
        <v>7959616</v>
      </c>
      <c r="E60" s="356">
        <f t="shared" si="0"/>
        <v>7588527</v>
      </c>
    </row>
    <row r="61" spans="1:5" ht="24" customHeight="1" x14ac:dyDescent="0.25">
      <c r="A61" s="339">
        <v>20</v>
      </c>
      <c r="B61" s="340" t="s">
        <v>362</v>
      </c>
      <c r="C61" s="353">
        <f>+C59-C60</f>
        <v>167974419</v>
      </c>
      <c r="D61" s="353">
        <f>+D59-D60</f>
        <v>164380472</v>
      </c>
      <c r="E61" s="353">
        <f>+E59-E60</f>
        <v>169247312</v>
      </c>
    </row>
    <row r="62" spans="1:5" ht="24" customHeight="1" x14ac:dyDescent="0.3">
      <c r="A62" s="347"/>
      <c r="B62" s="340"/>
      <c r="C62" s="353"/>
      <c r="D62" s="353"/>
      <c r="E62" s="336"/>
    </row>
    <row r="63" spans="1:5" ht="24" customHeight="1" x14ac:dyDescent="0.3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3">
      <c r="A64" s="333"/>
      <c r="B64" s="334"/>
      <c r="C64" s="353"/>
      <c r="D64" s="353"/>
      <c r="E64" s="336"/>
    </row>
    <row r="65" spans="1:5" ht="24" customHeight="1" x14ac:dyDescent="0.3">
      <c r="A65" s="333">
        <v>1</v>
      </c>
      <c r="B65" s="337" t="s">
        <v>364</v>
      </c>
      <c r="C65" s="357">
        <f>IF(C67=0,0,(C66/C67)*100)</f>
        <v>23.515457007734721</v>
      </c>
      <c r="D65" s="357">
        <f>IF(D67=0,0,(D66/D67)*100)</f>
        <v>18.611157466863045</v>
      </c>
      <c r="E65" s="357">
        <f>IF(E67=0,0,(E66/E67)*100)</f>
        <v>16.075325538244545</v>
      </c>
    </row>
    <row r="66" spans="1:5" ht="24" customHeight="1" x14ac:dyDescent="0.25">
      <c r="A66" s="339">
        <v>2</v>
      </c>
      <c r="B66" s="340" t="s">
        <v>67</v>
      </c>
      <c r="C66" s="353">
        <f>+C32</f>
        <v>29431435</v>
      </c>
      <c r="D66" s="353">
        <f>+D32</f>
        <v>22895820</v>
      </c>
      <c r="E66" s="353">
        <f>+E32</f>
        <v>19442859</v>
      </c>
    </row>
    <row r="67" spans="1:5" ht="24" customHeight="1" x14ac:dyDescent="0.25">
      <c r="A67" s="339">
        <v>3</v>
      </c>
      <c r="B67" s="340" t="s">
        <v>43</v>
      </c>
      <c r="C67" s="353">
        <v>125157827</v>
      </c>
      <c r="D67" s="353">
        <v>123022010</v>
      </c>
      <c r="E67" s="353">
        <v>120948462</v>
      </c>
    </row>
    <row r="68" spans="1:5" ht="24" customHeight="1" x14ac:dyDescent="0.3">
      <c r="A68" s="347"/>
      <c r="B68" s="337"/>
      <c r="C68" s="355"/>
      <c r="D68" s="355"/>
      <c r="E68" s="336"/>
    </row>
    <row r="69" spans="1:5" ht="24" customHeight="1" x14ac:dyDescent="0.3">
      <c r="A69" s="333">
        <v>4</v>
      </c>
      <c r="B69" s="337" t="s">
        <v>365</v>
      </c>
      <c r="C69" s="357">
        <f>IF(C75=0,0,(C72/C75)*100)</f>
        <v>15.712173808855558</v>
      </c>
      <c r="D69" s="357">
        <f>IF(D75=0,0,(D72/D75)*100)</f>
        <v>16.203484229265612</v>
      </c>
      <c r="E69" s="357">
        <f>IF(E75=0,0,(E72/E75)*100)</f>
        <v>14.524875192651423</v>
      </c>
    </row>
    <row r="70" spans="1:5" ht="24" customHeight="1" x14ac:dyDescent="0.25">
      <c r="A70" s="339">
        <v>5</v>
      </c>
      <c r="B70" s="340" t="s">
        <v>366</v>
      </c>
      <c r="C70" s="353">
        <f>+C28</f>
        <v>2160950</v>
      </c>
      <c r="D70" s="353">
        <f>+D28</f>
        <v>1084384</v>
      </c>
      <c r="E70" s="353">
        <f>+E28</f>
        <v>-187794</v>
      </c>
    </row>
    <row r="71" spans="1:5" ht="24" customHeight="1" x14ac:dyDescent="0.25">
      <c r="A71" s="339">
        <v>6</v>
      </c>
      <c r="B71" s="340" t="s">
        <v>356</v>
      </c>
      <c r="C71" s="356">
        <f>+C47</f>
        <v>7411959</v>
      </c>
      <c r="D71" s="356">
        <f>+D47</f>
        <v>7959616</v>
      </c>
      <c r="E71" s="356">
        <f>+E47</f>
        <v>7588527</v>
      </c>
    </row>
    <row r="72" spans="1:5" ht="33.9" customHeight="1" x14ac:dyDescent="0.25">
      <c r="A72" s="339">
        <v>7</v>
      </c>
      <c r="B72" s="340" t="s">
        <v>367</v>
      </c>
      <c r="C72" s="353">
        <f>+C70+C71</f>
        <v>9572909</v>
      </c>
      <c r="D72" s="353">
        <f>+D70+D71</f>
        <v>9044000</v>
      </c>
      <c r="E72" s="353">
        <f>+E70+E71</f>
        <v>7400733</v>
      </c>
    </row>
    <row r="73" spans="1:5" ht="24" customHeight="1" x14ac:dyDescent="0.25">
      <c r="A73" s="339">
        <v>8</v>
      </c>
      <c r="B73" s="340" t="s">
        <v>54</v>
      </c>
      <c r="C73" s="341">
        <f>+C40</f>
        <v>32101334</v>
      </c>
      <c r="D73" s="341">
        <f>+D40</f>
        <v>28126989</v>
      </c>
      <c r="E73" s="341">
        <f>+E40</f>
        <v>25357816</v>
      </c>
    </row>
    <row r="74" spans="1:5" ht="24" customHeight="1" x14ac:dyDescent="0.25">
      <c r="A74" s="339">
        <v>9</v>
      </c>
      <c r="B74" s="340" t="s">
        <v>58</v>
      </c>
      <c r="C74" s="353">
        <v>28825366</v>
      </c>
      <c r="D74" s="353">
        <v>27688167</v>
      </c>
      <c r="E74" s="353">
        <v>25594312</v>
      </c>
    </row>
    <row r="75" spans="1:5" ht="24" customHeight="1" x14ac:dyDescent="0.25">
      <c r="A75" s="339">
        <v>10</v>
      </c>
      <c r="B75" s="358" t="s">
        <v>368</v>
      </c>
      <c r="C75" s="341">
        <f>+C73+C74</f>
        <v>60926700</v>
      </c>
      <c r="D75" s="341">
        <f>+D73+D74</f>
        <v>55815156</v>
      </c>
      <c r="E75" s="341">
        <f>+E73+E74</f>
        <v>50952128</v>
      </c>
    </row>
    <row r="76" spans="1:5" ht="24" customHeight="1" x14ac:dyDescent="0.3">
      <c r="A76" s="347"/>
      <c r="B76" s="337"/>
      <c r="C76" s="350"/>
      <c r="D76" s="350"/>
      <c r="E76" s="349"/>
    </row>
    <row r="77" spans="1:5" ht="24" customHeight="1" x14ac:dyDescent="0.3">
      <c r="A77" s="333">
        <v>11</v>
      </c>
      <c r="B77" s="337" t="s">
        <v>369</v>
      </c>
      <c r="C77" s="359">
        <f>IF(C80=0,0,(C78/C80)*100)</f>
        <v>49.479829831370246</v>
      </c>
      <c r="D77" s="359">
        <f>IF(D80=0,0,(D78/D80)*100)</f>
        <v>54.737019839895183</v>
      </c>
      <c r="E77" s="359">
        <f>IF(E80=0,0,(E78/E80)*100)</f>
        <v>56.829306618748319</v>
      </c>
    </row>
    <row r="78" spans="1:5" ht="24" customHeight="1" x14ac:dyDescent="0.25">
      <c r="A78" s="339">
        <v>12</v>
      </c>
      <c r="B78" s="340" t="s">
        <v>58</v>
      </c>
      <c r="C78" s="341">
        <f>+C74</f>
        <v>28825366</v>
      </c>
      <c r="D78" s="341">
        <f>+D74</f>
        <v>27688167</v>
      </c>
      <c r="E78" s="341">
        <f>+E74</f>
        <v>25594312</v>
      </c>
    </row>
    <row r="79" spans="1:5" ht="24" customHeight="1" x14ac:dyDescent="0.25">
      <c r="A79" s="339">
        <v>13</v>
      </c>
      <c r="B79" s="340" t="s">
        <v>67</v>
      </c>
      <c r="C79" s="341">
        <f>+C32</f>
        <v>29431435</v>
      </c>
      <c r="D79" s="341">
        <f>+D32</f>
        <v>22895820</v>
      </c>
      <c r="E79" s="341">
        <f>+E32</f>
        <v>19442859</v>
      </c>
    </row>
    <row r="80" spans="1:5" ht="24" customHeight="1" x14ac:dyDescent="0.25">
      <c r="A80" s="339">
        <v>14</v>
      </c>
      <c r="B80" s="340" t="s">
        <v>370</v>
      </c>
      <c r="C80" s="341">
        <f>+C78+C79</f>
        <v>58256801</v>
      </c>
      <c r="D80" s="341">
        <f>+D78+D79</f>
        <v>50583987</v>
      </c>
      <c r="E80" s="341">
        <f>+E78+E79</f>
        <v>45037171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78" fitToHeight="0" orientation="portrait" r:id="rId1"/>
  <headerFooter>
    <oddHeader>&amp;LOFFICE OF HEALTH CARE ACCESS&amp;CTWELVE MONTHS ACTUAL FILING&amp;RBRISTOL HOSPITAL &amp; HEALTH CARE GROUP, INC.</oddHeader>
    <oddFooter>&amp;LREPORT 300&amp;CPAGE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sqref="A1:F1"/>
    </sheetView>
  </sheetViews>
  <sheetFormatPr defaultColWidth="9.109375" defaultRowHeight="13.2" x14ac:dyDescent="0.25"/>
  <cols>
    <col min="1" max="1" width="5.88671875" style="396" customWidth="1"/>
    <col min="2" max="2" width="47.6640625" style="396" customWidth="1"/>
    <col min="3" max="3" width="17.33203125" style="396" customWidth="1"/>
    <col min="4" max="4" width="19.109375" style="365" customWidth="1"/>
    <col min="5" max="7" width="17.33203125" style="365" customWidth="1"/>
    <col min="8" max="8" width="19.109375" style="365" bestFit="1" customWidth="1"/>
    <col min="9" max="11" width="19.109375" style="365" customWidth="1"/>
    <col min="12" max="16384" width="9.109375" style="365"/>
  </cols>
  <sheetData>
    <row r="1" spans="1:11" ht="15.75" customHeight="1" x14ac:dyDescent="0.3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3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3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3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3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3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3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3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3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3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5">
      <c r="A11" s="374">
        <v>1</v>
      </c>
      <c r="B11" s="375" t="s">
        <v>533</v>
      </c>
      <c r="C11" s="376">
        <v>15197</v>
      </c>
      <c r="D11" s="376">
        <v>4709</v>
      </c>
      <c r="E11" s="376">
        <v>4706</v>
      </c>
      <c r="F11" s="377">
        <v>76</v>
      </c>
      <c r="G11" s="377">
        <v>86</v>
      </c>
      <c r="H11" s="378">
        <f>IF(F11=0,0,$C11/(F11*365))</f>
        <v>0.5478370583994232</v>
      </c>
      <c r="I11" s="378">
        <f>IF(G11=0,0,$C11/(G11*365))</f>
        <v>0.48413507486460655</v>
      </c>
      <c r="J11" s="367"/>
      <c r="K11" s="379"/>
    </row>
    <row r="12" spans="1:11" ht="15" customHeight="1" x14ac:dyDescent="0.25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5">
      <c r="A13" s="374">
        <v>2</v>
      </c>
      <c r="B13" s="375" t="s">
        <v>534</v>
      </c>
      <c r="C13" s="376">
        <v>2746</v>
      </c>
      <c r="D13" s="376">
        <v>268</v>
      </c>
      <c r="E13" s="376">
        <v>0</v>
      </c>
      <c r="F13" s="377">
        <v>14</v>
      </c>
      <c r="G13" s="377">
        <v>14</v>
      </c>
      <c r="H13" s="378">
        <f>IF(F13=0,0,$C13/(F13*365))</f>
        <v>0.53737769080234832</v>
      </c>
      <c r="I13" s="378">
        <f>IF(G13=0,0,$C13/(G13*365))</f>
        <v>0.53737769080234832</v>
      </c>
      <c r="J13" s="367"/>
      <c r="K13" s="379"/>
    </row>
    <row r="14" spans="1:11" ht="15" customHeight="1" x14ac:dyDescent="0.25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5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5">
      <c r="A16" s="374">
        <v>4</v>
      </c>
      <c r="B16" s="375" t="s">
        <v>536</v>
      </c>
      <c r="C16" s="376">
        <v>4734</v>
      </c>
      <c r="D16" s="376">
        <v>856</v>
      </c>
      <c r="E16" s="376">
        <v>852</v>
      </c>
      <c r="F16" s="377">
        <v>16</v>
      </c>
      <c r="G16" s="377">
        <v>16</v>
      </c>
      <c r="H16" s="378">
        <f t="shared" si="0"/>
        <v>0.81061643835616437</v>
      </c>
      <c r="I16" s="378">
        <f t="shared" si="0"/>
        <v>0.81061643835616437</v>
      </c>
      <c r="J16" s="367"/>
      <c r="K16" s="379"/>
    </row>
    <row r="17" spans="1:11" ht="15.75" customHeight="1" x14ac:dyDescent="0.3">
      <c r="A17" s="136"/>
      <c r="B17" s="380" t="s">
        <v>537</v>
      </c>
      <c r="C17" s="381">
        <f>SUM(C15:C16)</f>
        <v>4734</v>
      </c>
      <c r="D17" s="381">
        <f>SUM(D15:D16)</f>
        <v>856</v>
      </c>
      <c r="E17" s="381">
        <f>SUM(E15:E16)</f>
        <v>852</v>
      </c>
      <c r="F17" s="381">
        <f>SUM(F15:F16)</f>
        <v>16</v>
      </c>
      <c r="G17" s="381">
        <f>SUM(G15:G16)</f>
        <v>16</v>
      </c>
      <c r="H17" s="382">
        <f t="shared" si="0"/>
        <v>0.81061643835616437</v>
      </c>
      <c r="I17" s="382">
        <f t="shared" si="0"/>
        <v>0.81061643835616437</v>
      </c>
      <c r="J17" s="367"/>
      <c r="K17" s="379"/>
    </row>
    <row r="18" spans="1:11" ht="15.75" customHeight="1" x14ac:dyDescent="0.3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5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5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5">
      <c r="A21" s="374">
        <v>6</v>
      </c>
      <c r="B21" s="375" t="s">
        <v>539</v>
      </c>
      <c r="C21" s="376">
        <v>1536</v>
      </c>
      <c r="D21" s="376">
        <v>552</v>
      </c>
      <c r="E21" s="376">
        <v>550</v>
      </c>
      <c r="F21" s="377">
        <v>15</v>
      </c>
      <c r="G21" s="377">
        <v>15</v>
      </c>
      <c r="H21" s="378">
        <f>IF(F21=0,0,$C21/(F21*365))</f>
        <v>0.28054794520547943</v>
      </c>
      <c r="I21" s="378">
        <f>IF(G21=0,0,$C21/(G21*365))</f>
        <v>0.28054794520547943</v>
      </c>
      <c r="J21" s="367"/>
      <c r="K21" s="379"/>
    </row>
    <row r="22" spans="1:11" ht="15" customHeight="1" x14ac:dyDescent="0.25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5">
      <c r="A23" s="374">
        <v>7</v>
      </c>
      <c r="B23" s="375" t="s">
        <v>540</v>
      </c>
      <c r="C23" s="376">
        <v>1480</v>
      </c>
      <c r="D23" s="376">
        <v>592</v>
      </c>
      <c r="E23" s="376">
        <v>591</v>
      </c>
      <c r="F23" s="377">
        <v>20</v>
      </c>
      <c r="G23" s="377">
        <v>20</v>
      </c>
      <c r="H23" s="378">
        <f>IF(F23=0,0,$C23/(F23*365))</f>
        <v>0.20273972602739726</v>
      </c>
      <c r="I23" s="378">
        <f>IF(G23=0,0,$C23/(G23*365))</f>
        <v>0.20273972602739726</v>
      </c>
      <c r="J23" s="367"/>
      <c r="K23" s="379"/>
    </row>
    <row r="24" spans="1:11" ht="15" customHeight="1" x14ac:dyDescent="0.25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5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5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5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3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5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5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3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3">
      <c r="A31" s="136"/>
      <c r="B31" s="361" t="s">
        <v>544</v>
      </c>
      <c r="C31" s="384">
        <f>SUM(C10:C29)-C17-C23</f>
        <v>24213</v>
      </c>
      <c r="D31" s="384">
        <f>SUM(D10:D29)-D13-D17-D23</f>
        <v>6117</v>
      </c>
      <c r="E31" s="384">
        <f>SUM(E10:E29)-E17-E23</f>
        <v>6108</v>
      </c>
      <c r="F31" s="384">
        <f>SUM(F10:F29)-F17-F23</f>
        <v>121</v>
      </c>
      <c r="G31" s="384">
        <f>SUM(G10:G29)-G17-G23</f>
        <v>134</v>
      </c>
      <c r="H31" s="385">
        <f>IF(F31=0,0,$C31/(F31*365))</f>
        <v>0.54823955620966824</v>
      </c>
      <c r="I31" s="385">
        <f>IF(G31=0,0,$C31/(G31*365))</f>
        <v>0.49505213657738706</v>
      </c>
      <c r="J31" s="367"/>
      <c r="K31" s="379"/>
    </row>
    <row r="32" spans="1:11" ht="15.75" customHeight="1" x14ac:dyDescent="0.3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3">
      <c r="A33" s="136"/>
      <c r="B33" s="361" t="s">
        <v>545</v>
      </c>
      <c r="C33" s="384">
        <f>SUM(C10:C29)-C17</f>
        <v>25693</v>
      </c>
      <c r="D33" s="384">
        <f>SUM(D10:D29)-D13-D17</f>
        <v>6709</v>
      </c>
      <c r="E33" s="384">
        <f>SUM(E10:E29)-E17</f>
        <v>6699</v>
      </c>
      <c r="F33" s="384">
        <f>SUM(F10:F29)-F17</f>
        <v>141</v>
      </c>
      <c r="G33" s="384">
        <f>SUM(G10:G29)-G17</f>
        <v>154</v>
      </c>
      <c r="H33" s="385">
        <f>IF(F33=0,0,$C33/(F33*365))</f>
        <v>0.49923248809870785</v>
      </c>
      <c r="I33" s="385">
        <f>IF(G33=0,0,$C33/(G33*365))</f>
        <v>0.45708948585660913</v>
      </c>
      <c r="J33" s="367"/>
      <c r="K33" s="379"/>
    </row>
    <row r="34" spans="1:11" ht="15.75" customHeight="1" x14ac:dyDescent="0.3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3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3">
      <c r="A36" s="136"/>
      <c r="B36" s="361" t="s">
        <v>546</v>
      </c>
      <c r="C36" s="384">
        <f t="shared" ref="C36:I36" si="1">+C33</f>
        <v>25693</v>
      </c>
      <c r="D36" s="384">
        <f t="shared" si="1"/>
        <v>6709</v>
      </c>
      <c r="E36" s="384">
        <f t="shared" si="1"/>
        <v>6699</v>
      </c>
      <c r="F36" s="384">
        <f t="shared" si="1"/>
        <v>141</v>
      </c>
      <c r="G36" s="384">
        <f t="shared" si="1"/>
        <v>154</v>
      </c>
      <c r="H36" s="387">
        <f t="shared" si="1"/>
        <v>0.49923248809870785</v>
      </c>
      <c r="I36" s="387">
        <f t="shared" si="1"/>
        <v>0.45708948585660913</v>
      </c>
      <c r="J36" s="367"/>
      <c r="K36" s="379"/>
    </row>
    <row r="37" spans="1:11" ht="15.75" customHeight="1" x14ac:dyDescent="0.3">
      <c r="A37" s="136"/>
      <c r="B37" s="361" t="s">
        <v>547</v>
      </c>
      <c r="C37" s="384">
        <v>28080</v>
      </c>
      <c r="D37" s="384">
        <v>7071</v>
      </c>
      <c r="E37" s="384">
        <v>7056</v>
      </c>
      <c r="F37" s="386">
        <v>128</v>
      </c>
      <c r="G37" s="386">
        <v>154</v>
      </c>
      <c r="H37" s="385">
        <f>IF(F37=0,0,$C37/(F37*365))</f>
        <v>0.60102739726027399</v>
      </c>
      <c r="I37" s="385">
        <f>IF(G37=0,0,$C37/(G37*365))</f>
        <v>0.49955523928126666</v>
      </c>
      <c r="J37" s="367"/>
      <c r="K37" s="379"/>
    </row>
    <row r="38" spans="1:11" ht="15.75" customHeight="1" x14ac:dyDescent="0.3">
      <c r="A38" s="136"/>
      <c r="B38" s="361" t="s">
        <v>548</v>
      </c>
      <c r="C38" s="384">
        <f t="shared" ref="C38:I38" si="2">+C36-C37</f>
        <v>-2387</v>
      </c>
      <c r="D38" s="384">
        <f t="shared" si="2"/>
        <v>-362</v>
      </c>
      <c r="E38" s="384">
        <f t="shared" si="2"/>
        <v>-357</v>
      </c>
      <c r="F38" s="384">
        <f t="shared" si="2"/>
        <v>13</v>
      </c>
      <c r="G38" s="384">
        <f t="shared" si="2"/>
        <v>0</v>
      </c>
      <c r="H38" s="387">
        <f t="shared" si="2"/>
        <v>-0.10179490916156614</v>
      </c>
      <c r="I38" s="387">
        <f t="shared" si="2"/>
        <v>-4.2465753424657526E-2</v>
      </c>
      <c r="J38" s="367"/>
      <c r="K38" s="379"/>
    </row>
    <row r="39" spans="1:11" ht="15.75" customHeight="1" x14ac:dyDescent="0.3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3">
      <c r="A40" s="136"/>
      <c r="B40" s="361" t="s">
        <v>549</v>
      </c>
      <c r="C40" s="389">
        <f t="shared" ref="C40:I40" si="3">IF(C37=0,0,C38/C37)</f>
        <v>-8.5007122507122501E-2</v>
      </c>
      <c r="D40" s="389">
        <f t="shared" si="3"/>
        <v>-5.1195021920520438E-2</v>
      </c>
      <c r="E40" s="389">
        <f t="shared" si="3"/>
        <v>-5.0595238095238096E-2</v>
      </c>
      <c r="F40" s="389">
        <f t="shared" si="3"/>
        <v>0.1015625</v>
      </c>
      <c r="G40" s="389">
        <f t="shared" si="3"/>
        <v>0</v>
      </c>
      <c r="H40" s="389">
        <f t="shared" si="3"/>
        <v>-0.16936816794972828</v>
      </c>
      <c r="I40" s="389">
        <f t="shared" si="3"/>
        <v>-8.5007122507122501E-2</v>
      </c>
      <c r="J40" s="390"/>
      <c r="K40" s="379"/>
    </row>
    <row r="41" spans="1:11" ht="15.75" customHeight="1" x14ac:dyDescent="0.3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3">
      <c r="A42" s="391"/>
      <c r="B42" s="375" t="s">
        <v>550</v>
      </c>
      <c r="C42" s="375">
        <v>154</v>
      </c>
      <c r="D42" s="391"/>
      <c r="E42" s="391"/>
      <c r="F42" s="391"/>
      <c r="G42" s="391"/>
      <c r="H42" s="367"/>
      <c r="I42" s="379"/>
    </row>
    <row r="43" spans="1:11" ht="15.75" customHeight="1" x14ac:dyDescent="0.3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3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3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3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3">
      <c r="A47" s="395"/>
      <c r="B47" s="393"/>
      <c r="C47" s="393"/>
      <c r="D47" s="393"/>
      <c r="E47" s="393"/>
      <c r="F47" s="393"/>
      <c r="G47" s="393"/>
    </row>
    <row r="48" spans="1:11" ht="15" customHeight="1" x14ac:dyDescent="0.25">
      <c r="B48" s="397"/>
      <c r="C48" s="398"/>
    </row>
  </sheetData>
  <printOptions horizontalCentered="1" gridLines="1"/>
  <pageMargins left="0.5" right="0.5" top="0.5" bottom="0.5" header="0.25" footer="0.25"/>
  <pageSetup scale="70" orientation="landscape" r:id="rId1"/>
  <headerFooter>
    <oddHeader>&amp;LOFFICE OF HEALTH CARE ACCESS&amp;CTWELVE MONTHS ACTUAL FILING&amp;RBRISTOL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sqref="A1:F1"/>
    </sheetView>
  </sheetViews>
  <sheetFormatPr defaultColWidth="9.109375" defaultRowHeight="13.2" x14ac:dyDescent="0.25"/>
  <cols>
    <col min="1" max="1" width="6.88671875" style="396" customWidth="1"/>
    <col min="2" max="2" width="52.5546875" style="365" customWidth="1"/>
    <col min="3" max="4" width="20.33203125" style="365" customWidth="1"/>
    <col min="5" max="5" width="19" style="365" customWidth="1"/>
    <col min="6" max="8" width="18.109375" style="365" customWidth="1"/>
    <col min="9" max="9" width="17.5546875" style="365" customWidth="1"/>
    <col min="10" max="11" width="22" style="365" bestFit="1" customWidth="1"/>
    <col min="12" max="12" width="14" style="365" bestFit="1" customWidth="1"/>
    <col min="13" max="13" width="15.109375" style="365" customWidth="1"/>
    <col min="14" max="16384" width="9.109375" style="365"/>
  </cols>
  <sheetData>
    <row r="1" spans="1:16" ht="15.75" customHeight="1" x14ac:dyDescent="0.3">
      <c r="A1" s="813" t="s">
        <v>0</v>
      </c>
      <c r="B1" s="814"/>
      <c r="C1" s="814"/>
      <c r="D1" s="814"/>
      <c r="E1" s="814"/>
      <c r="F1" s="815"/>
    </row>
    <row r="2" spans="1:16" ht="15.75" customHeight="1" x14ac:dyDescent="0.3">
      <c r="A2" s="813" t="s">
        <v>1</v>
      </c>
      <c r="B2" s="814"/>
      <c r="C2" s="814"/>
      <c r="D2" s="814"/>
      <c r="E2" s="814"/>
      <c r="F2" s="815"/>
    </row>
    <row r="3" spans="1:16" ht="15.75" customHeight="1" x14ac:dyDescent="0.3">
      <c r="A3" s="813" t="s">
        <v>2</v>
      </c>
      <c r="B3" s="814"/>
      <c r="C3" s="814"/>
      <c r="D3" s="814"/>
      <c r="E3" s="814"/>
      <c r="F3" s="815"/>
    </row>
    <row r="4" spans="1:16" ht="15.75" customHeight="1" x14ac:dyDescent="0.3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3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3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3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3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3">
      <c r="A12" s="374">
        <v>1</v>
      </c>
      <c r="B12" s="408" t="s">
        <v>555</v>
      </c>
      <c r="C12" s="409">
        <v>3244</v>
      </c>
      <c r="D12" s="409">
        <v>3022</v>
      </c>
      <c r="E12" s="409">
        <f>+D12-C12</f>
        <v>-222</v>
      </c>
      <c r="F12" s="410">
        <f>IF(C12=0,0,+E12/C12)</f>
        <v>-6.8434032059186189E-2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3">
      <c r="A13" s="374">
        <v>2</v>
      </c>
      <c r="B13" s="408" t="s">
        <v>556</v>
      </c>
      <c r="C13" s="409">
        <v>4322</v>
      </c>
      <c r="D13" s="409">
        <v>4654</v>
      </c>
      <c r="E13" s="409">
        <f>+D13-C13</f>
        <v>332</v>
      </c>
      <c r="F13" s="410">
        <f>IF(C13=0,0,+E13/C13)</f>
        <v>7.6816288755205922E-2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3">
      <c r="A14" s="374">
        <v>3</v>
      </c>
      <c r="B14" s="408" t="s">
        <v>557</v>
      </c>
      <c r="C14" s="409">
        <v>5112</v>
      </c>
      <c r="D14" s="409">
        <v>5012</v>
      </c>
      <c r="E14" s="409">
        <f>+D14-C14</f>
        <v>-100</v>
      </c>
      <c r="F14" s="410">
        <f>IF(C14=0,0,+E14/C14)</f>
        <v>-1.9561815336463225E-2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3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3">
      <c r="A16" s="136"/>
      <c r="B16" s="399" t="s">
        <v>559</v>
      </c>
      <c r="C16" s="401">
        <f>SUM(C12:C15)</f>
        <v>12678</v>
      </c>
      <c r="D16" s="401">
        <f>SUM(D12:D15)</f>
        <v>12688</v>
      </c>
      <c r="E16" s="401">
        <f>+D16-C16</f>
        <v>10</v>
      </c>
      <c r="F16" s="402">
        <f>IF(C16=0,0,+E16/C16)</f>
        <v>7.8876794447073676E-4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3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3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5">
      <c r="A19" s="374">
        <v>1</v>
      </c>
      <c r="B19" s="408" t="s">
        <v>555</v>
      </c>
      <c r="C19" s="409">
        <v>374</v>
      </c>
      <c r="D19" s="409">
        <v>327</v>
      </c>
      <c r="E19" s="409">
        <f>+D19-C19</f>
        <v>-47</v>
      </c>
      <c r="F19" s="410">
        <f>IF(C19=0,0,+E19/C19)</f>
        <v>-0.12566844919786097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5">
      <c r="A20" s="374">
        <v>2</v>
      </c>
      <c r="B20" s="408" t="s">
        <v>556</v>
      </c>
      <c r="C20" s="409">
        <v>2337</v>
      </c>
      <c r="D20" s="409">
        <v>2650</v>
      </c>
      <c r="E20" s="409">
        <f>+D20-C20</f>
        <v>313</v>
      </c>
      <c r="F20" s="410">
        <f>IF(C20=0,0,+E20/C20)</f>
        <v>0.1339323919554985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5">
      <c r="A21" s="374">
        <v>3</v>
      </c>
      <c r="B21" s="408" t="s">
        <v>557</v>
      </c>
      <c r="C21" s="409">
        <v>105</v>
      </c>
      <c r="D21" s="409">
        <v>93</v>
      </c>
      <c r="E21" s="409">
        <f>+D21-C21</f>
        <v>-12</v>
      </c>
      <c r="F21" s="410">
        <f>IF(C21=0,0,+E21/C21)</f>
        <v>-0.11428571428571428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5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3">
      <c r="A23" s="136"/>
      <c r="B23" s="399" t="s">
        <v>561</v>
      </c>
      <c r="C23" s="401">
        <f>SUM(C19:C22)</f>
        <v>2816</v>
      </c>
      <c r="D23" s="401">
        <f>SUM(D19:D22)</f>
        <v>3070</v>
      </c>
      <c r="E23" s="401">
        <f>+D23-C23</f>
        <v>254</v>
      </c>
      <c r="F23" s="402">
        <f>IF(C23=0,0,+E23/C23)</f>
        <v>9.0198863636363633E-2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3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3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5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5">
      <c r="A27" s="374">
        <v>2</v>
      </c>
      <c r="B27" s="408" t="s">
        <v>556</v>
      </c>
      <c r="C27" s="409">
        <v>213</v>
      </c>
      <c r="D27" s="409">
        <v>235</v>
      </c>
      <c r="E27" s="409">
        <f>+D27-C27</f>
        <v>22</v>
      </c>
      <c r="F27" s="410">
        <f>IF(C27=0,0,+E27/C27)</f>
        <v>0.10328638497652583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5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5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3">
      <c r="A30" s="136"/>
      <c r="B30" s="399" t="s">
        <v>563</v>
      </c>
      <c r="C30" s="401">
        <f>SUM(C26:C29)</f>
        <v>213</v>
      </c>
      <c r="D30" s="401">
        <f>SUM(D26:D29)</f>
        <v>235</v>
      </c>
      <c r="E30" s="401">
        <f>+D30-C30</f>
        <v>22</v>
      </c>
      <c r="F30" s="402">
        <f>IF(C30=0,0,+E30/C30)</f>
        <v>0.10328638497652583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3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3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5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5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5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5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3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3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3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3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3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3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5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5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3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3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3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5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5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3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3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3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5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5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3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3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3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5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5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3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3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3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5">
      <c r="A63" s="374">
        <v>1</v>
      </c>
      <c r="B63" s="408" t="s">
        <v>583</v>
      </c>
      <c r="C63" s="409">
        <v>1280</v>
      </c>
      <c r="D63" s="409">
        <v>1327</v>
      </c>
      <c r="E63" s="409">
        <f>+D63-C63</f>
        <v>47</v>
      </c>
      <c r="F63" s="410">
        <f>IF(C63=0,0,+E63/C63)</f>
        <v>3.6718750000000001E-2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5">
      <c r="A64" s="374">
        <v>2</v>
      </c>
      <c r="B64" s="408" t="s">
        <v>584</v>
      </c>
      <c r="C64" s="409">
        <v>3088</v>
      </c>
      <c r="D64" s="409">
        <v>3124</v>
      </c>
      <c r="E64" s="409">
        <f>+D64-C64</f>
        <v>36</v>
      </c>
      <c r="F64" s="410">
        <f>IF(C64=0,0,+E64/C64)</f>
        <v>1.1658031088082901E-2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3">
      <c r="A65" s="136"/>
      <c r="B65" s="399" t="s">
        <v>585</v>
      </c>
      <c r="C65" s="401">
        <f>SUM(C63:C64)</f>
        <v>4368</v>
      </c>
      <c r="D65" s="401">
        <f>SUM(D63:D64)</f>
        <v>4451</v>
      </c>
      <c r="E65" s="401">
        <f>+D65-C65</f>
        <v>83</v>
      </c>
      <c r="F65" s="402">
        <f>IF(C65=0,0,+E65/C65)</f>
        <v>1.90018315018315E-2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5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3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5">
      <c r="A68" s="374">
        <v>1</v>
      </c>
      <c r="B68" s="408" t="s">
        <v>587</v>
      </c>
      <c r="C68" s="409">
        <v>392</v>
      </c>
      <c r="D68" s="409">
        <v>417</v>
      </c>
      <c r="E68" s="409">
        <f>+D68-C68</f>
        <v>25</v>
      </c>
      <c r="F68" s="410">
        <f>IF(C68=0,0,+E68/C68)</f>
        <v>6.3775510204081634E-2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5">
      <c r="A69" s="374">
        <v>2</v>
      </c>
      <c r="B69" s="408" t="s">
        <v>588</v>
      </c>
      <c r="C69" s="409">
        <v>1844</v>
      </c>
      <c r="D69" s="409">
        <v>1892</v>
      </c>
      <c r="E69" s="409">
        <f>+D69-C69</f>
        <v>48</v>
      </c>
      <c r="F69" s="412">
        <f>IF(C69=0,0,+E69/C69)</f>
        <v>2.6030368763557483E-2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3">
      <c r="A70" s="136"/>
      <c r="B70" s="399" t="s">
        <v>589</v>
      </c>
      <c r="C70" s="401">
        <f>SUM(C68:C69)</f>
        <v>2236</v>
      </c>
      <c r="D70" s="401">
        <f>SUM(D68:D69)</f>
        <v>2309</v>
      </c>
      <c r="E70" s="401">
        <f>+D70-C70</f>
        <v>73</v>
      </c>
      <c r="F70" s="402">
        <f>IF(C70=0,0,+E70/C70)</f>
        <v>3.2647584973166367E-2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3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3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5">
      <c r="A73" s="374">
        <v>1</v>
      </c>
      <c r="B73" s="408" t="s">
        <v>591</v>
      </c>
      <c r="C73" s="376">
        <v>5331</v>
      </c>
      <c r="D73" s="376">
        <v>5068</v>
      </c>
      <c r="E73" s="409">
        <f>+D73-C73</f>
        <v>-263</v>
      </c>
      <c r="F73" s="410">
        <f>IF(C73=0,0,+E73/C73)</f>
        <v>-4.9334083661601948E-2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5">
      <c r="A74" s="374">
        <v>2</v>
      </c>
      <c r="B74" s="408" t="s">
        <v>592</v>
      </c>
      <c r="C74" s="376">
        <v>34310</v>
      </c>
      <c r="D74" s="376">
        <v>33755</v>
      </c>
      <c r="E74" s="409">
        <f>+D74-C74</f>
        <v>-555</v>
      </c>
      <c r="F74" s="410">
        <f>IF(C74=0,0,+E74/C74)</f>
        <v>-1.6176041970271057E-2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3">
      <c r="A75" s="136"/>
      <c r="B75" s="399" t="s">
        <v>434</v>
      </c>
      <c r="C75" s="401">
        <f>SUM(C73:C74)</f>
        <v>39641</v>
      </c>
      <c r="D75" s="401">
        <f>SUM(D73:D74)</f>
        <v>38823</v>
      </c>
      <c r="E75" s="401">
        <f>SUM(E73:E74)</f>
        <v>-818</v>
      </c>
      <c r="F75" s="402">
        <f>IF(C75=0,0,+E75/C75)</f>
        <v>-2.0635200928331779E-2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5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5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3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5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5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5">
      <c r="A81" s="374">
        <v>3</v>
      </c>
      <c r="B81" s="408" t="s">
        <v>596</v>
      </c>
      <c r="C81" s="376">
        <v>26649</v>
      </c>
      <c r="D81" s="376">
        <v>24424</v>
      </c>
      <c r="E81" s="409">
        <f t="shared" si="0"/>
        <v>-2225</v>
      </c>
      <c r="F81" s="410">
        <f t="shared" si="1"/>
        <v>-8.3492813989267889E-2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5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5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5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5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5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5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5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5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5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5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3">
      <c r="A92" s="136"/>
      <c r="B92" s="399" t="s">
        <v>607</v>
      </c>
      <c r="C92" s="381">
        <f>SUM(C79:C91)</f>
        <v>26649</v>
      </c>
      <c r="D92" s="381">
        <f>SUM(D79:D91)</f>
        <v>24424</v>
      </c>
      <c r="E92" s="401">
        <f t="shared" si="0"/>
        <v>-2225</v>
      </c>
      <c r="F92" s="402">
        <f t="shared" si="1"/>
        <v>-8.3492813989267889E-2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3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3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5">
      <c r="A95" s="374">
        <v>1</v>
      </c>
      <c r="B95" s="408" t="s">
        <v>609</v>
      </c>
      <c r="C95" s="414">
        <v>82934</v>
      </c>
      <c r="D95" s="414">
        <v>92482</v>
      </c>
      <c r="E95" s="415">
        <f t="shared" ref="E95:E100" si="2">+D95-C95</f>
        <v>9548</v>
      </c>
      <c r="F95" s="412">
        <f t="shared" ref="F95:F100" si="3">IF(C95=0,0,+E95/C95)</f>
        <v>0.1151276918995828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5">
      <c r="A96" s="374">
        <v>2</v>
      </c>
      <c r="B96" s="408" t="s">
        <v>610</v>
      </c>
      <c r="C96" s="414">
        <v>3893</v>
      </c>
      <c r="D96" s="414">
        <v>4385</v>
      </c>
      <c r="E96" s="409">
        <f t="shared" si="2"/>
        <v>492</v>
      </c>
      <c r="F96" s="410">
        <f t="shared" si="3"/>
        <v>0.12638068327767787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5">
      <c r="A97" s="374">
        <v>3</v>
      </c>
      <c r="B97" s="408" t="s">
        <v>611</v>
      </c>
      <c r="C97" s="414">
        <v>9299</v>
      </c>
      <c r="D97" s="414">
        <v>8934</v>
      </c>
      <c r="E97" s="409">
        <f t="shared" si="2"/>
        <v>-365</v>
      </c>
      <c r="F97" s="410">
        <f t="shared" si="3"/>
        <v>-3.9251532422841164E-2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5">
      <c r="A98" s="374">
        <v>4</v>
      </c>
      <c r="B98" s="408" t="s">
        <v>612</v>
      </c>
      <c r="C98" s="414">
        <v>1295</v>
      </c>
      <c r="D98" s="414">
        <v>1359</v>
      </c>
      <c r="E98" s="409">
        <f t="shared" si="2"/>
        <v>64</v>
      </c>
      <c r="F98" s="410">
        <f t="shared" si="3"/>
        <v>4.9420849420849421E-2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5">
      <c r="A99" s="374">
        <v>5</v>
      </c>
      <c r="B99" s="408" t="s">
        <v>613</v>
      </c>
      <c r="C99" s="414">
        <v>4039</v>
      </c>
      <c r="D99" s="414">
        <v>7703</v>
      </c>
      <c r="E99" s="409">
        <f t="shared" si="2"/>
        <v>3664</v>
      </c>
      <c r="F99" s="410">
        <f t="shared" si="3"/>
        <v>0.90715523644466456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3">
      <c r="A100" s="136"/>
      <c r="B100" s="399" t="s">
        <v>614</v>
      </c>
      <c r="C100" s="381">
        <f>SUM(C95:C99)</f>
        <v>101460</v>
      </c>
      <c r="D100" s="381">
        <f>SUM(D95:D99)</f>
        <v>114863</v>
      </c>
      <c r="E100" s="401">
        <f t="shared" si="2"/>
        <v>13403</v>
      </c>
      <c r="F100" s="402">
        <f t="shared" si="3"/>
        <v>0.13210132071752415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5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3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3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5">
      <c r="A104" s="374">
        <v>1</v>
      </c>
      <c r="B104" s="408" t="s">
        <v>616</v>
      </c>
      <c r="C104" s="416">
        <v>233.3</v>
      </c>
      <c r="D104" s="416">
        <v>229.8</v>
      </c>
      <c r="E104" s="417">
        <f>+D104-C104</f>
        <v>-3.5</v>
      </c>
      <c r="F104" s="410">
        <f>IF(C104=0,0,+E104/C104)</f>
        <v>-1.5002143163309044E-2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5">
      <c r="A105" s="374">
        <v>2</v>
      </c>
      <c r="B105" s="408" t="s">
        <v>617</v>
      </c>
      <c r="C105" s="416">
        <v>1.7</v>
      </c>
      <c r="D105" s="416">
        <v>1.8</v>
      </c>
      <c r="E105" s="417">
        <f>+D105-C105</f>
        <v>0.10000000000000009</v>
      </c>
      <c r="F105" s="410">
        <f>IF(C105=0,0,+E105/C105)</f>
        <v>5.8823529411764761E-2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5">
      <c r="A106" s="374">
        <v>3</v>
      </c>
      <c r="B106" s="408" t="s">
        <v>618</v>
      </c>
      <c r="C106" s="416">
        <v>636.79999999999995</v>
      </c>
      <c r="D106" s="416">
        <v>617.20000000000005</v>
      </c>
      <c r="E106" s="417">
        <f>+D106-C106</f>
        <v>-19.599999999999909</v>
      </c>
      <c r="F106" s="410">
        <f>IF(C106=0,0,+E106/C106)</f>
        <v>-3.0778894472361668E-2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3">
      <c r="A107" s="136"/>
      <c r="B107" s="399" t="s">
        <v>619</v>
      </c>
      <c r="C107" s="418">
        <f>SUM(C104:C106)</f>
        <v>871.8</v>
      </c>
      <c r="D107" s="418">
        <f>SUM(D104:D106)</f>
        <v>848.80000000000007</v>
      </c>
      <c r="E107" s="418">
        <f>+D107-C107</f>
        <v>-22.999999999999886</v>
      </c>
      <c r="F107" s="402">
        <f>IF(C107=0,0,+E107/C107)</f>
        <v>-2.6382197751777803E-2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3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scale="74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75" zoomScaleSheetLayoutView="90" workbookViewId="0">
      <selection sqref="A1:F1"/>
    </sheetView>
  </sheetViews>
  <sheetFormatPr defaultColWidth="9.109375" defaultRowHeight="13.2" x14ac:dyDescent="0.25"/>
  <cols>
    <col min="1" max="1" width="5.33203125" style="396" customWidth="1"/>
    <col min="2" max="2" width="56.44140625" style="365" customWidth="1"/>
    <col min="3" max="3" width="15.5546875" style="365" customWidth="1"/>
    <col min="4" max="4" width="15.33203125" style="365" customWidth="1"/>
    <col min="5" max="5" width="15.6640625" style="365" customWidth="1"/>
    <col min="6" max="6" width="15.88671875" style="365" customWidth="1"/>
    <col min="7" max="16384" width="9.109375" style="365"/>
  </cols>
  <sheetData>
    <row r="1" spans="1:6" ht="15.75" customHeight="1" x14ac:dyDescent="0.3">
      <c r="A1" s="813" t="s">
        <v>0</v>
      </c>
      <c r="B1" s="814"/>
      <c r="C1" s="814"/>
      <c r="D1" s="814"/>
      <c r="E1" s="814"/>
      <c r="F1" s="815"/>
    </row>
    <row r="2" spans="1:6" ht="15.75" customHeight="1" x14ac:dyDescent="0.3">
      <c r="A2" s="813" t="s">
        <v>1</v>
      </c>
      <c r="B2" s="814"/>
      <c r="C2" s="814"/>
      <c r="D2" s="814"/>
      <c r="E2" s="814"/>
      <c r="F2" s="815"/>
    </row>
    <row r="3" spans="1:6" ht="15.75" customHeight="1" x14ac:dyDescent="0.3">
      <c r="A3" s="813" t="s">
        <v>2</v>
      </c>
      <c r="B3" s="814"/>
      <c r="C3" s="814"/>
      <c r="D3" s="814"/>
      <c r="E3" s="814"/>
      <c r="F3" s="815"/>
    </row>
    <row r="4" spans="1:6" ht="15.75" customHeight="1" x14ac:dyDescent="0.3">
      <c r="A4" s="813" t="s">
        <v>620</v>
      </c>
      <c r="B4" s="814"/>
      <c r="C4" s="814"/>
      <c r="D4" s="814"/>
      <c r="E4" s="814"/>
      <c r="F4" s="815"/>
    </row>
    <row r="5" spans="1:6" ht="15.75" customHeight="1" x14ac:dyDescent="0.3">
      <c r="A5" s="136"/>
      <c r="B5" s="399"/>
      <c r="C5" s="400"/>
      <c r="D5" s="400"/>
      <c r="E5" s="401"/>
      <c r="F5" s="402"/>
    </row>
    <row r="6" spans="1: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3">
      <c r="A7" s="405"/>
      <c r="B7" s="361"/>
      <c r="C7" s="362"/>
      <c r="D7" s="362"/>
      <c r="E7" s="362"/>
      <c r="F7" s="362"/>
    </row>
    <row r="8" spans="1: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3">
      <c r="A10" s="369"/>
      <c r="B10" s="406"/>
      <c r="C10" s="371"/>
      <c r="D10" s="371"/>
      <c r="E10" s="371"/>
      <c r="F10" s="371"/>
    </row>
    <row r="11" spans="1:6" ht="15.75" customHeight="1" x14ac:dyDescent="0.3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5">
      <c r="A12" s="374">
        <v>1</v>
      </c>
      <c r="B12" s="408" t="s">
        <v>621</v>
      </c>
      <c r="C12" s="409">
        <v>3088</v>
      </c>
      <c r="D12" s="409">
        <v>3124</v>
      </c>
      <c r="E12" s="409">
        <f>+D12-C12</f>
        <v>36</v>
      </c>
      <c r="F12" s="410">
        <f>IF(C12=0,0,+E12/C12)</f>
        <v>1.1658031088082901E-2</v>
      </c>
    </row>
    <row r="13" spans="1:6" ht="15.75" customHeight="1" x14ac:dyDescent="0.3">
      <c r="A13" s="374"/>
      <c r="B13" s="399" t="s">
        <v>622</v>
      </c>
      <c r="C13" s="401">
        <f>SUM(C11:C12)</f>
        <v>3088</v>
      </c>
      <c r="D13" s="401">
        <f>SUM(D11:D12)</f>
        <v>3124</v>
      </c>
      <c r="E13" s="401">
        <f>+D13-C13</f>
        <v>36</v>
      </c>
      <c r="F13" s="402">
        <f>IF(C13=0,0,+E13/C13)</f>
        <v>1.1658031088082901E-2</v>
      </c>
    </row>
    <row r="14" spans="1:6" ht="15.75" customHeight="1" x14ac:dyDescent="0.3">
      <c r="A14" s="136"/>
      <c r="B14" s="399"/>
      <c r="C14" s="401"/>
      <c r="D14" s="401"/>
      <c r="E14" s="401"/>
      <c r="F14" s="402"/>
    </row>
    <row r="15" spans="1:6" ht="15.75" customHeight="1" x14ac:dyDescent="0.3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5">
      <c r="A16" s="374">
        <v>1</v>
      </c>
      <c r="B16" s="408" t="s">
        <v>621</v>
      </c>
      <c r="C16" s="409">
        <v>1844</v>
      </c>
      <c r="D16" s="409">
        <v>1892</v>
      </c>
      <c r="E16" s="409">
        <f>+D16-C16</f>
        <v>48</v>
      </c>
      <c r="F16" s="410">
        <f>IF(C16=0,0,+E16/C16)</f>
        <v>2.6030368763557483E-2</v>
      </c>
    </row>
    <row r="17" spans="1:6" ht="15.75" customHeight="1" x14ac:dyDescent="0.3">
      <c r="A17" s="374"/>
      <c r="B17" s="399" t="s">
        <v>623</v>
      </c>
      <c r="C17" s="401">
        <f>SUM(C15:C16)</f>
        <v>1844</v>
      </c>
      <c r="D17" s="401">
        <f>SUM(D15:D16)</f>
        <v>1892</v>
      </c>
      <c r="E17" s="401">
        <f>+D17-C17</f>
        <v>48</v>
      </c>
      <c r="F17" s="402">
        <f>IF(C17=0,0,+E17/C17)</f>
        <v>2.6030368763557483E-2</v>
      </c>
    </row>
    <row r="18" spans="1:6" ht="15.75" customHeight="1" x14ac:dyDescent="0.3">
      <c r="A18" s="136"/>
      <c r="B18" s="399"/>
      <c r="C18" s="401"/>
      <c r="D18" s="401"/>
      <c r="E18" s="401"/>
      <c r="F18" s="402"/>
    </row>
    <row r="19" spans="1:6" ht="15.75" customHeight="1" x14ac:dyDescent="0.3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5">
      <c r="A20" s="374">
        <v>1</v>
      </c>
      <c r="B20" s="408" t="s">
        <v>621</v>
      </c>
      <c r="C20" s="409">
        <v>34310</v>
      </c>
      <c r="D20" s="409">
        <v>33755</v>
      </c>
      <c r="E20" s="409">
        <f>+D20-C20</f>
        <v>-555</v>
      </c>
      <c r="F20" s="410">
        <f>IF(C20=0,0,+E20/C20)</f>
        <v>-1.6176041970271057E-2</v>
      </c>
    </row>
    <row r="21" spans="1:6" ht="15.75" customHeight="1" x14ac:dyDescent="0.3">
      <c r="A21" s="374"/>
      <c r="B21" s="399" t="s">
        <v>625</v>
      </c>
      <c r="C21" s="401">
        <f>SUM(C19:C20)</f>
        <v>34310</v>
      </c>
      <c r="D21" s="401">
        <f>SUM(D19:D20)</f>
        <v>33755</v>
      </c>
      <c r="E21" s="401">
        <f>+D21-C21</f>
        <v>-555</v>
      </c>
      <c r="F21" s="402">
        <f>IF(C21=0,0,+E21/C21)</f>
        <v>-1.6176041970271057E-2</v>
      </c>
    </row>
    <row r="22" spans="1:6" ht="15.75" customHeight="1" x14ac:dyDescent="0.3">
      <c r="A22" s="136"/>
      <c r="B22" s="399"/>
      <c r="C22" s="401"/>
      <c r="D22" s="401"/>
      <c r="E22" s="401"/>
      <c r="F22" s="402"/>
    </row>
    <row r="23" spans="1:6" ht="15.75" customHeight="1" x14ac:dyDescent="0.3">
      <c r="B23" s="810" t="s">
        <v>626</v>
      </c>
      <c r="C23" s="811"/>
      <c r="D23" s="811"/>
      <c r="E23" s="811"/>
      <c r="F23" s="812"/>
    </row>
    <row r="24" spans="1:6" ht="15.75" customHeight="1" x14ac:dyDescent="0.3">
      <c r="A24" s="392"/>
    </row>
    <row r="25" spans="1:6" ht="15.75" customHeight="1" x14ac:dyDescent="0.3">
      <c r="B25" s="810" t="s">
        <v>627</v>
      </c>
      <c r="C25" s="811"/>
      <c r="D25" s="811"/>
      <c r="E25" s="811"/>
      <c r="F25" s="812"/>
    </row>
    <row r="26" spans="1:6" ht="15.75" customHeight="1" x14ac:dyDescent="0.3">
      <c r="A26" s="392"/>
    </row>
    <row r="27" spans="1:6" ht="15.75" customHeight="1" x14ac:dyDescent="0.3">
      <c r="B27" s="810" t="s">
        <v>628</v>
      </c>
      <c r="C27" s="811"/>
      <c r="D27" s="811"/>
      <c r="E27" s="811"/>
      <c r="F27" s="812"/>
    </row>
    <row r="28" spans="1:6" ht="15.75" customHeight="1" x14ac:dyDescent="0.3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scale="82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sqref="A1:F1"/>
    </sheetView>
  </sheetViews>
  <sheetFormatPr defaultColWidth="9.109375" defaultRowHeight="15.75" customHeight="1" x14ac:dyDescent="0.25"/>
  <cols>
    <col min="1" max="1" width="5.109375" style="421" bestFit="1" customWidth="1"/>
    <col min="2" max="2" width="62.109375" style="485" customWidth="1"/>
    <col min="3" max="3" width="14.44140625" style="568" customWidth="1"/>
    <col min="4" max="4" width="14.33203125" style="421" customWidth="1"/>
    <col min="5" max="5" width="14" style="421" customWidth="1"/>
    <col min="6" max="6" width="15.5546875" style="421" customWidth="1"/>
    <col min="7" max="17" width="12.6640625" style="420" customWidth="1"/>
    <col min="18" max="21" width="9.109375" style="421"/>
    <col min="22" max="22" width="9.109375" style="421" hidden="1" customWidth="1"/>
    <col min="23" max="16384" width="9.109375" style="421"/>
  </cols>
  <sheetData>
    <row r="1" spans="1:21" ht="15.75" customHeight="1" x14ac:dyDescent="0.3">
      <c r="A1" s="816" t="s">
        <v>0</v>
      </c>
      <c r="B1" s="816"/>
      <c r="C1" s="816"/>
      <c r="D1" s="816"/>
      <c r="E1" s="816"/>
      <c r="F1" s="816"/>
    </row>
    <row r="2" spans="1:21" ht="15.75" customHeight="1" x14ac:dyDescent="0.3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3">
      <c r="A3" s="817" t="s">
        <v>2</v>
      </c>
      <c r="B3" s="818"/>
      <c r="C3" s="818"/>
      <c r="D3" s="818"/>
      <c r="E3" s="818"/>
      <c r="F3" s="819"/>
    </row>
    <row r="4" spans="1:21" ht="15.75" customHeight="1" x14ac:dyDescent="0.3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3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3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5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5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5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3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5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3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5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5">
      <c r="A15" s="428">
        <v>1</v>
      </c>
      <c r="B15" s="447" t="s">
        <v>637</v>
      </c>
      <c r="C15" s="448">
        <v>89030643</v>
      </c>
      <c r="D15" s="448">
        <v>85193950</v>
      </c>
      <c r="E15" s="448">
        <f t="shared" ref="E15:E24" si="0">D15-C15</f>
        <v>-3836693</v>
      </c>
      <c r="F15" s="449">
        <f t="shared" ref="F15:F24" si="1">IF(C15=0,0,E15/C15)</f>
        <v>-4.3094072677875642E-2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5">
      <c r="A16" s="451">
        <v>2</v>
      </c>
      <c r="B16" s="447" t="s">
        <v>638</v>
      </c>
      <c r="C16" s="448">
        <v>28121510</v>
      </c>
      <c r="D16" s="448">
        <v>24879315</v>
      </c>
      <c r="E16" s="448">
        <f t="shared" si="0"/>
        <v>-3242195</v>
      </c>
      <c r="F16" s="449">
        <f t="shared" si="1"/>
        <v>-0.11529235094417049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5">
      <c r="A17" s="451">
        <v>3</v>
      </c>
      <c r="B17" s="452" t="s">
        <v>639</v>
      </c>
      <c r="C17" s="453">
        <f>IF(C15=0,0,C16/C15)</f>
        <v>0.31586326968345046</v>
      </c>
      <c r="D17" s="453">
        <f>IF(LN_IA1=0,0,LN_IA2/LN_IA1)</f>
        <v>0.29203147641352467</v>
      </c>
      <c r="E17" s="454">
        <f t="shared" si="0"/>
        <v>-2.3831793269925794E-2</v>
      </c>
      <c r="F17" s="449">
        <f t="shared" si="1"/>
        <v>-7.5449713712548369E-2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5">
      <c r="A18" s="451">
        <v>4</v>
      </c>
      <c r="B18" s="447" t="s">
        <v>137</v>
      </c>
      <c r="C18" s="456">
        <v>3380</v>
      </c>
      <c r="D18" s="456">
        <v>3148</v>
      </c>
      <c r="E18" s="456">
        <f t="shared" si="0"/>
        <v>-232</v>
      </c>
      <c r="F18" s="449">
        <f t="shared" si="1"/>
        <v>-6.8639053254437865E-2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5">
      <c r="A19" s="451">
        <v>5</v>
      </c>
      <c r="B19" s="452" t="s">
        <v>640</v>
      </c>
      <c r="C19" s="459">
        <v>1.2741</v>
      </c>
      <c r="D19" s="459">
        <v>1.4052</v>
      </c>
      <c r="E19" s="460">
        <f t="shared" si="0"/>
        <v>0.13109999999999999</v>
      </c>
      <c r="F19" s="449">
        <f t="shared" si="1"/>
        <v>0.10289616199670355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5">
      <c r="A20" s="428">
        <v>6</v>
      </c>
      <c r="B20" s="452" t="s">
        <v>641</v>
      </c>
      <c r="C20" s="463">
        <f>C18*C19</f>
        <v>4306.4579999999996</v>
      </c>
      <c r="D20" s="463">
        <f>LN_IA4*LN_IA5</f>
        <v>4423.5695999999998</v>
      </c>
      <c r="E20" s="463">
        <f t="shared" si="0"/>
        <v>117.11160000000018</v>
      </c>
      <c r="F20" s="449">
        <f t="shared" si="1"/>
        <v>2.7194413599296727E-2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5">
      <c r="A21" s="451">
        <v>7</v>
      </c>
      <c r="B21" s="447" t="s">
        <v>642</v>
      </c>
      <c r="C21" s="465">
        <f>IF(C20=0,0,C16/C20)</f>
        <v>6530.0787793588142</v>
      </c>
      <c r="D21" s="465">
        <f>IF(LN_IA6=0,0,LN_IA2/LN_IA6)</f>
        <v>5624.2621343631627</v>
      </c>
      <c r="E21" s="465">
        <f t="shared" si="0"/>
        <v>-905.81664499565159</v>
      </c>
      <c r="F21" s="449">
        <f t="shared" si="1"/>
        <v>-0.13871450492433315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5">
      <c r="A22" s="451">
        <v>8</v>
      </c>
      <c r="B22" s="447" t="s">
        <v>139</v>
      </c>
      <c r="C22" s="456">
        <v>14869</v>
      </c>
      <c r="D22" s="456">
        <v>13640</v>
      </c>
      <c r="E22" s="456">
        <f t="shared" si="0"/>
        <v>-1229</v>
      </c>
      <c r="F22" s="449">
        <f t="shared" si="1"/>
        <v>-8.2655188647521693E-2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5">
      <c r="A23" s="451">
        <v>9</v>
      </c>
      <c r="B23" s="447" t="s">
        <v>643</v>
      </c>
      <c r="C23" s="465">
        <f>IF(C22=0,0,C16/C22)</f>
        <v>1891.2845517519672</v>
      </c>
      <c r="D23" s="465">
        <f>IF(LN_IA8=0,0,LN_IA2/LN_IA8)</f>
        <v>1823.9967008797653</v>
      </c>
      <c r="E23" s="465">
        <f t="shared" si="0"/>
        <v>-67.287850872201943</v>
      </c>
      <c r="F23" s="449">
        <f t="shared" si="1"/>
        <v>-3.5577856758714971E-2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5">
      <c r="A24" s="451">
        <v>10</v>
      </c>
      <c r="B24" s="447" t="s">
        <v>644</v>
      </c>
      <c r="C24" s="466">
        <f>IF(C18=0,0,C22/C18)</f>
        <v>4.3991124260355026</v>
      </c>
      <c r="D24" s="466">
        <f>IF(LN_IA4=0,0,LN_IA8/LN_IA4)</f>
        <v>4.3329097839898347</v>
      </c>
      <c r="E24" s="466">
        <f t="shared" si="0"/>
        <v>-6.6202642045667837E-2</v>
      </c>
      <c r="F24" s="449">
        <f t="shared" si="1"/>
        <v>-1.5049090733361848E-2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5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5">
      <c r="A27" s="451">
        <v>11</v>
      </c>
      <c r="B27" s="447" t="s">
        <v>646</v>
      </c>
      <c r="C27" s="448">
        <v>116531165</v>
      </c>
      <c r="D27" s="448">
        <v>132265897</v>
      </c>
      <c r="E27" s="448">
        <f t="shared" ref="E27:E32" si="2">D27-C27</f>
        <v>15734732</v>
      </c>
      <c r="F27" s="449">
        <f t="shared" ref="F27:F32" si="3">IF(C27=0,0,E27/C27)</f>
        <v>0.13502595636111592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5">
      <c r="A28" s="451">
        <v>12</v>
      </c>
      <c r="B28" s="447" t="s">
        <v>647</v>
      </c>
      <c r="C28" s="448">
        <v>23973082</v>
      </c>
      <c r="D28" s="448">
        <v>25430029</v>
      </c>
      <c r="E28" s="448">
        <f t="shared" si="2"/>
        <v>1456947</v>
      </c>
      <c r="F28" s="449">
        <f t="shared" si="3"/>
        <v>6.0774288428997153E-2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5">
      <c r="A29" s="451">
        <v>13</v>
      </c>
      <c r="B29" s="447" t="s">
        <v>648</v>
      </c>
      <c r="C29" s="453">
        <f>IF(C27=0,0,C28/C27)</f>
        <v>0.20572249492228109</v>
      </c>
      <c r="D29" s="453">
        <f>IF(LN_IA11=0,0,LN_IA12/LN_IA11)</f>
        <v>0.1922644428896135</v>
      </c>
      <c r="E29" s="454">
        <f t="shared" si="2"/>
        <v>-1.3458052032667589E-2</v>
      </c>
      <c r="F29" s="449">
        <f t="shared" si="3"/>
        <v>-6.5418475688581557E-2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5">
      <c r="A30" s="451">
        <v>14</v>
      </c>
      <c r="B30" s="447" t="s">
        <v>649</v>
      </c>
      <c r="C30" s="453">
        <f>IF(C15=0,0,C27/C15)</f>
        <v>1.3088882779381925</v>
      </c>
      <c r="D30" s="453">
        <f>IF(LN_IA1=0,0,LN_IA11/LN_IA1)</f>
        <v>1.5525268754412724</v>
      </c>
      <c r="E30" s="454">
        <f t="shared" si="2"/>
        <v>0.24363859750307992</v>
      </c>
      <c r="F30" s="449">
        <f t="shared" si="3"/>
        <v>0.18614162996926531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5">
      <c r="A31" s="451">
        <v>15</v>
      </c>
      <c r="B31" s="447" t="s">
        <v>650</v>
      </c>
      <c r="C31" s="463">
        <f>C30*C18</f>
        <v>4424.0423794310909</v>
      </c>
      <c r="D31" s="463">
        <f>LN_IA14*LN_IA4</f>
        <v>4887.3546038891254</v>
      </c>
      <c r="E31" s="463">
        <f t="shared" si="2"/>
        <v>463.31222445803451</v>
      </c>
      <c r="F31" s="449">
        <f t="shared" si="3"/>
        <v>0.10472599146249907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5">
      <c r="A32" s="451">
        <v>16</v>
      </c>
      <c r="B32" s="452" t="s">
        <v>651</v>
      </c>
      <c r="C32" s="465">
        <f>IF(C31=0,0,C28/C31)</f>
        <v>5418.8183439334089</v>
      </c>
      <c r="D32" s="465">
        <f>IF(LN_IA15=0,0,LN_IA12/LN_IA15)</f>
        <v>5203.2297758308732</v>
      </c>
      <c r="E32" s="465">
        <f t="shared" si="2"/>
        <v>-215.58856810253565</v>
      </c>
      <c r="F32" s="449">
        <f t="shared" si="3"/>
        <v>-3.9785162450388462E-2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5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5">
      <c r="A35" s="451">
        <v>17</v>
      </c>
      <c r="B35" s="447" t="s">
        <v>653</v>
      </c>
      <c r="C35" s="448">
        <f>C15+C27</f>
        <v>205561808</v>
      </c>
      <c r="D35" s="448">
        <f>LN_IA1+LN_IA11</f>
        <v>217459847</v>
      </c>
      <c r="E35" s="448">
        <f>D35-C35</f>
        <v>11898039</v>
      </c>
      <c r="F35" s="449">
        <f>IF(C35=0,0,E35/C35)</f>
        <v>5.7880591320737945E-2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5">
      <c r="A36" s="451">
        <v>18</v>
      </c>
      <c r="B36" s="447" t="s">
        <v>654</v>
      </c>
      <c r="C36" s="448">
        <f>C16+C28</f>
        <v>52094592</v>
      </c>
      <c r="D36" s="448">
        <f>LN_IA2+LN_IA12</f>
        <v>50309344</v>
      </c>
      <c r="E36" s="448">
        <f>D36-C36</f>
        <v>-1785248</v>
      </c>
      <c r="F36" s="449">
        <f>IF(C36=0,0,E36/C36)</f>
        <v>-3.4269353717176633E-2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5">
      <c r="A37" s="473">
        <v>19</v>
      </c>
      <c r="B37" s="447" t="s">
        <v>655</v>
      </c>
      <c r="C37" s="448">
        <f>C35-C36</f>
        <v>153467216</v>
      </c>
      <c r="D37" s="448">
        <f>LN_IA17-LN_IA18</f>
        <v>167150503</v>
      </c>
      <c r="E37" s="448">
        <f>D37-C37</f>
        <v>13683287</v>
      </c>
      <c r="F37" s="449">
        <f>IF(C37=0,0,E37/C37)</f>
        <v>8.9160977547152478E-2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5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3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5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5">
      <c r="A42" s="428">
        <v>1</v>
      </c>
      <c r="B42" s="447" t="s">
        <v>637</v>
      </c>
      <c r="C42" s="448">
        <v>34686289</v>
      </c>
      <c r="D42" s="448">
        <v>37829211</v>
      </c>
      <c r="E42" s="448">
        <f t="shared" ref="E42:E53" si="4">D42-C42</f>
        <v>3142922</v>
      </c>
      <c r="F42" s="449">
        <f t="shared" ref="F42:F53" si="5">IF(C42=0,0,E42/C42)</f>
        <v>9.0609923707895071E-2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5">
      <c r="A43" s="451">
        <v>2</v>
      </c>
      <c r="B43" s="447" t="s">
        <v>638</v>
      </c>
      <c r="C43" s="448">
        <v>17963053</v>
      </c>
      <c r="D43" s="448">
        <v>18553846</v>
      </c>
      <c r="E43" s="448">
        <f t="shared" si="4"/>
        <v>590793</v>
      </c>
      <c r="F43" s="449">
        <f t="shared" si="5"/>
        <v>3.2889342362904569E-2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5">
      <c r="A44" s="451">
        <v>3</v>
      </c>
      <c r="B44" s="452" t="s">
        <v>639</v>
      </c>
      <c r="C44" s="453">
        <f>IF(C42=0,0,C43/C42)</f>
        <v>0.51787185997325913</v>
      </c>
      <c r="D44" s="453">
        <f>IF(LN_IB1=0,0,LN_IB2/LN_IB1)</f>
        <v>0.49046346750398784</v>
      </c>
      <c r="E44" s="454">
        <f t="shared" si="4"/>
        <v>-2.7408392469271292E-2</v>
      </c>
      <c r="F44" s="449">
        <f t="shared" si="5"/>
        <v>-5.2925046884545059E-2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5">
      <c r="A45" s="451">
        <v>4</v>
      </c>
      <c r="B45" s="447" t="s">
        <v>137</v>
      </c>
      <c r="C45" s="456">
        <v>1833</v>
      </c>
      <c r="D45" s="456">
        <v>1820</v>
      </c>
      <c r="E45" s="456">
        <f t="shared" si="4"/>
        <v>-13</v>
      </c>
      <c r="F45" s="449">
        <f t="shared" si="5"/>
        <v>-7.0921985815602835E-3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5">
      <c r="A46" s="451">
        <v>5</v>
      </c>
      <c r="B46" s="452" t="s">
        <v>640</v>
      </c>
      <c r="C46" s="459">
        <v>0.99299999999999999</v>
      </c>
      <c r="D46" s="459">
        <v>1.1357999999999999</v>
      </c>
      <c r="E46" s="460">
        <f t="shared" si="4"/>
        <v>0.14279999999999993</v>
      </c>
      <c r="F46" s="449">
        <f t="shared" si="5"/>
        <v>0.14380664652567968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5">
      <c r="A47" s="428">
        <v>6</v>
      </c>
      <c r="B47" s="452" t="s">
        <v>641</v>
      </c>
      <c r="C47" s="463">
        <f>C45*C46</f>
        <v>1820.1690000000001</v>
      </c>
      <c r="D47" s="463">
        <f>LN_IB4*LN_IB5</f>
        <v>2067.1559999999999</v>
      </c>
      <c r="E47" s="463">
        <f t="shared" si="4"/>
        <v>246.98699999999985</v>
      </c>
      <c r="F47" s="449">
        <f t="shared" si="5"/>
        <v>0.13569454264961103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5">
      <c r="A48" s="451">
        <v>7</v>
      </c>
      <c r="B48" s="447" t="s">
        <v>642</v>
      </c>
      <c r="C48" s="465">
        <f>IF(C47=0,0,C43/C47)</f>
        <v>9868.8929434574475</v>
      </c>
      <c r="D48" s="465">
        <f>IF(LN_IB6=0,0,LN_IB2/LN_IB6)</f>
        <v>8975.5422425786928</v>
      </c>
      <c r="E48" s="465">
        <f t="shared" si="4"/>
        <v>-893.35070087875465</v>
      </c>
      <c r="F48" s="449">
        <f t="shared" si="5"/>
        <v>-9.0521875756185879E-2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5">
      <c r="A49" s="451">
        <v>8</v>
      </c>
      <c r="B49" s="452" t="s">
        <v>658</v>
      </c>
      <c r="C49" s="465">
        <f>C21-C48</f>
        <v>-3338.8141640986332</v>
      </c>
      <c r="D49" s="465">
        <f>LN_IA7-LN_IB7</f>
        <v>-3351.2801082155302</v>
      </c>
      <c r="E49" s="465">
        <f t="shared" si="4"/>
        <v>-12.465944116896935</v>
      </c>
      <c r="F49" s="449">
        <f t="shared" si="5"/>
        <v>3.7336441934803875E-3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5">
      <c r="A50" s="451">
        <v>9</v>
      </c>
      <c r="B50" s="447" t="s">
        <v>659</v>
      </c>
      <c r="C50" s="479">
        <f>C49*C47</f>
        <v>-6077206.0382532459</v>
      </c>
      <c r="D50" s="479">
        <f>LN_IB8*LN_IB6</f>
        <v>-6927618.7833783822</v>
      </c>
      <c r="E50" s="479">
        <f t="shared" si="4"/>
        <v>-850412.74512513634</v>
      </c>
      <c r="F50" s="449">
        <f t="shared" si="5"/>
        <v>0.13993482198434201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5">
      <c r="A51" s="451">
        <v>10</v>
      </c>
      <c r="B51" s="447" t="s">
        <v>139</v>
      </c>
      <c r="C51" s="456">
        <v>6026</v>
      </c>
      <c r="D51" s="456">
        <v>5505</v>
      </c>
      <c r="E51" s="456">
        <f t="shared" si="4"/>
        <v>-521</v>
      </c>
      <c r="F51" s="449">
        <f t="shared" si="5"/>
        <v>-8.6458679057417859E-2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5">
      <c r="A52" s="451">
        <v>11</v>
      </c>
      <c r="B52" s="447" t="s">
        <v>643</v>
      </c>
      <c r="C52" s="465">
        <f>IF(C51=0,0,C43/C51)</f>
        <v>2980.9248257550612</v>
      </c>
      <c r="D52" s="465">
        <f>IF(LN_IB10=0,0,LN_IB2/LN_IB10)</f>
        <v>3370.3625794732061</v>
      </c>
      <c r="E52" s="465">
        <f t="shared" si="4"/>
        <v>389.4377537181449</v>
      </c>
      <c r="F52" s="449">
        <f t="shared" si="5"/>
        <v>0.13064326559107414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5">
      <c r="A53" s="451">
        <v>12</v>
      </c>
      <c r="B53" s="447" t="s">
        <v>644</v>
      </c>
      <c r="C53" s="466">
        <f>IF(C45=0,0,C51/C45)</f>
        <v>3.2875068194217132</v>
      </c>
      <c r="D53" s="466">
        <f>IF(LN_IB4=0,0,LN_IB10/LN_IB4)</f>
        <v>3.0247252747252746</v>
      </c>
      <c r="E53" s="466">
        <f t="shared" si="4"/>
        <v>-0.26278154469643855</v>
      </c>
      <c r="F53" s="449">
        <f t="shared" si="5"/>
        <v>-7.9933383907828046E-2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5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5">
      <c r="A56" s="451">
        <v>13</v>
      </c>
      <c r="B56" s="447" t="s">
        <v>646</v>
      </c>
      <c r="C56" s="448">
        <v>104545675</v>
      </c>
      <c r="D56" s="448">
        <v>113416765</v>
      </c>
      <c r="E56" s="448">
        <f t="shared" ref="E56:E63" si="6">D56-C56</f>
        <v>8871090</v>
      </c>
      <c r="F56" s="449">
        <f t="shared" ref="F56:F63" si="7">IF(C56=0,0,E56/C56)</f>
        <v>8.4853725417144227E-2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5">
      <c r="A57" s="451">
        <v>14</v>
      </c>
      <c r="B57" s="447" t="s">
        <v>647</v>
      </c>
      <c r="C57" s="448">
        <v>41191436</v>
      </c>
      <c r="D57" s="448">
        <v>43388234</v>
      </c>
      <c r="E57" s="448">
        <f t="shared" si="6"/>
        <v>2196798</v>
      </c>
      <c r="F57" s="449">
        <f t="shared" si="7"/>
        <v>5.3331425493396249E-2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5">
      <c r="A58" s="451">
        <v>15</v>
      </c>
      <c r="B58" s="447" t="s">
        <v>648</v>
      </c>
      <c r="C58" s="453">
        <f>IF(C56=0,0,C57/C56)</f>
        <v>0.3940042091650372</v>
      </c>
      <c r="D58" s="453">
        <f>IF(LN_IB13=0,0,LN_IB14/LN_IB13)</f>
        <v>0.38255573591787773</v>
      </c>
      <c r="E58" s="454">
        <f t="shared" si="6"/>
        <v>-1.1448473247159474E-2</v>
      </c>
      <c r="F58" s="449">
        <f t="shared" si="7"/>
        <v>-2.9056728280697205E-2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5">
      <c r="A59" s="451">
        <v>16</v>
      </c>
      <c r="B59" s="447" t="s">
        <v>649</v>
      </c>
      <c r="C59" s="453">
        <f>IF(C42=0,0,C56/C42)</f>
        <v>3.0140345944762208</v>
      </c>
      <c r="D59" s="453">
        <f>IF(LN_IB1=0,0,LN_IB13/LN_IB1)</f>
        <v>2.998126632881664</v>
      </c>
      <c r="E59" s="454">
        <f t="shared" si="6"/>
        <v>-1.5907961594556763E-2</v>
      </c>
      <c r="F59" s="449">
        <f t="shared" si="7"/>
        <v>-5.2779625103544139E-3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5">
      <c r="A60" s="451">
        <v>17</v>
      </c>
      <c r="B60" s="447" t="s">
        <v>650</v>
      </c>
      <c r="C60" s="463">
        <f>C59*C45</f>
        <v>5524.7254116749127</v>
      </c>
      <c r="D60" s="463">
        <f>LN_IB16*LN_IB4</f>
        <v>5456.5904718446282</v>
      </c>
      <c r="E60" s="463">
        <f t="shared" si="6"/>
        <v>-68.134939830284566</v>
      </c>
      <c r="F60" s="449">
        <f t="shared" si="7"/>
        <v>-1.2332728733685305E-2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5">
      <c r="A61" s="451">
        <v>18</v>
      </c>
      <c r="B61" s="452" t="s">
        <v>651</v>
      </c>
      <c r="C61" s="465">
        <f>IF(C60=0,0,C57/C60)</f>
        <v>7455.8340787315492</v>
      </c>
      <c r="D61" s="465">
        <f>IF(LN_IB17=0,0,LN_IB14/LN_IB17)</f>
        <v>7951.5283809327893</v>
      </c>
      <c r="E61" s="465">
        <f t="shared" si="6"/>
        <v>495.69430220124013</v>
      </c>
      <c r="F61" s="449">
        <f t="shared" si="7"/>
        <v>6.6484084405157781E-2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5">
      <c r="A62" s="473">
        <v>19</v>
      </c>
      <c r="B62" s="447" t="s">
        <v>661</v>
      </c>
      <c r="C62" s="465">
        <f>C32-C61</f>
        <v>-2037.0157347981403</v>
      </c>
      <c r="D62" s="465">
        <f>LN_IA16-LN_IB18</f>
        <v>-2748.2986051019161</v>
      </c>
      <c r="E62" s="465">
        <f t="shared" si="6"/>
        <v>-711.28287030377578</v>
      </c>
      <c r="F62" s="449">
        <f t="shared" si="7"/>
        <v>0.34917887876514658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5">
      <c r="A63" s="473">
        <v>20</v>
      </c>
      <c r="B63" s="452" t="s">
        <v>662</v>
      </c>
      <c r="C63" s="448">
        <f>C62*C60</f>
        <v>-11253952.594020931</v>
      </c>
      <c r="D63" s="448">
        <f>LN_IB19*LN_IB17</f>
        <v>-14996339.982382998</v>
      </c>
      <c r="E63" s="448">
        <f t="shared" si="6"/>
        <v>-3742387.3883620668</v>
      </c>
      <c r="F63" s="449">
        <f t="shared" si="7"/>
        <v>0.33253982164011825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5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5">
      <c r="A66" s="473">
        <v>21</v>
      </c>
      <c r="B66" s="447" t="s">
        <v>653</v>
      </c>
      <c r="C66" s="448">
        <f>C42+C56</f>
        <v>139231964</v>
      </c>
      <c r="D66" s="448">
        <f>LN_IB1+LN_IB13</f>
        <v>151245976</v>
      </c>
      <c r="E66" s="448">
        <f>D66-C66</f>
        <v>12014012</v>
      </c>
      <c r="F66" s="449">
        <f>IF(C66=0,0,E66/C66)</f>
        <v>8.628774352418099E-2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5">
      <c r="A67" s="473">
        <v>22</v>
      </c>
      <c r="B67" s="447" t="s">
        <v>654</v>
      </c>
      <c r="C67" s="448">
        <f>C43+C57</f>
        <v>59154489</v>
      </c>
      <c r="D67" s="448">
        <f>LN_IB2+LN_IB14</f>
        <v>61942080</v>
      </c>
      <c r="E67" s="448">
        <f>D67-C67</f>
        <v>2787591</v>
      </c>
      <c r="F67" s="449">
        <f>IF(C67=0,0,E67/C67)</f>
        <v>4.7123913115030037E-2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5">
      <c r="A68" s="473">
        <v>23</v>
      </c>
      <c r="B68" s="447" t="s">
        <v>655</v>
      </c>
      <c r="C68" s="448">
        <f>C66-C67</f>
        <v>80077475</v>
      </c>
      <c r="D68" s="448">
        <f>LN_IB21-LN_IB22</f>
        <v>89303896</v>
      </c>
      <c r="E68" s="448">
        <f>D68-C68</f>
        <v>9226421</v>
      </c>
      <c r="F68" s="449">
        <f>IF(C68=0,0,E68/C68)</f>
        <v>0.11521868040919123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5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5">
      <c r="A70" s="473">
        <v>24</v>
      </c>
      <c r="B70" s="447" t="s">
        <v>664</v>
      </c>
      <c r="C70" s="441">
        <f>C50+C63</f>
        <v>-17331158.632274177</v>
      </c>
      <c r="D70" s="441">
        <f>LN_IB9+LN_IB20</f>
        <v>-21923958.765761379</v>
      </c>
      <c r="E70" s="448">
        <f>D70-C70</f>
        <v>-4592800.1334872022</v>
      </c>
      <c r="F70" s="449">
        <f>IF(C70=0,0,E70/C70)</f>
        <v>0.26500248661589565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5">
      <c r="A71" s="428"/>
      <c r="C71" s="421"/>
      <c r="Q71" s="421"/>
      <c r="U71" s="441"/>
    </row>
    <row r="72" spans="1:21" ht="15.75" customHeight="1" x14ac:dyDescent="0.25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5">
      <c r="A73" s="428">
        <v>25</v>
      </c>
      <c r="B73" s="445" t="s">
        <v>666</v>
      </c>
      <c r="C73" s="488">
        <v>129119183</v>
      </c>
      <c r="D73" s="488">
        <v>139793488</v>
      </c>
      <c r="E73" s="488">
        <f>D73-C73</f>
        <v>10674305</v>
      </c>
      <c r="F73" s="489">
        <f>IF(C73=0,0,E73/C73)</f>
        <v>8.26701714802517E-2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5">
      <c r="A74" s="428">
        <v>26</v>
      </c>
      <c r="B74" s="445" t="s">
        <v>667</v>
      </c>
      <c r="C74" s="488">
        <v>65741313</v>
      </c>
      <c r="D74" s="488">
        <v>66387251</v>
      </c>
      <c r="E74" s="488">
        <f>D74-C74</f>
        <v>645938</v>
      </c>
      <c r="F74" s="489">
        <f>IF(C74=0,0,E74/C74)</f>
        <v>9.8254502461792934E-3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5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5">
      <c r="A76" s="451">
        <v>27</v>
      </c>
      <c r="B76" s="447" t="s">
        <v>669</v>
      </c>
      <c r="C76" s="441">
        <f>C73-C74</f>
        <v>63377870</v>
      </c>
      <c r="D76" s="441">
        <f>LN_IB32-LN_IB33</f>
        <v>73406237</v>
      </c>
      <c r="E76" s="488">
        <f>D76-C76</f>
        <v>10028367</v>
      </c>
      <c r="F76" s="489">
        <f>IF(E76=0,0,E76/C76)</f>
        <v>0.15823136687932238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5">
      <c r="A77" s="451">
        <v>28</v>
      </c>
      <c r="B77" s="447" t="s">
        <v>670</v>
      </c>
      <c r="C77" s="453">
        <f>IF(C73=0,0,C76/C73)</f>
        <v>0.49084782390545328</v>
      </c>
      <c r="D77" s="453">
        <f>IF(LN_IB32=0,0,LN_IB34/LN_IB32)</f>
        <v>0.52510483893212534</v>
      </c>
      <c r="E77" s="493">
        <f>D77-C77</f>
        <v>3.4257015026672055E-2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5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3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3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3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5">
      <c r="A83" s="428">
        <v>1</v>
      </c>
      <c r="B83" s="447" t="s">
        <v>637</v>
      </c>
      <c r="C83" s="448">
        <v>1368087</v>
      </c>
      <c r="D83" s="448">
        <v>1649171</v>
      </c>
      <c r="E83" s="448">
        <f t="shared" ref="E83:E95" si="8">D83-C83</f>
        <v>281084</v>
      </c>
      <c r="F83" s="449">
        <f t="shared" ref="F83:F95" si="9">IF(C83=0,0,E83/C83)</f>
        <v>0.20545769384549376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5">
      <c r="A84" s="451">
        <v>2</v>
      </c>
      <c r="B84" s="447" t="s">
        <v>638</v>
      </c>
      <c r="C84" s="448">
        <v>0</v>
      </c>
      <c r="D84" s="448">
        <v>8171</v>
      </c>
      <c r="E84" s="448">
        <f t="shared" si="8"/>
        <v>8171</v>
      </c>
      <c r="F84" s="449">
        <f t="shared" si="9"/>
        <v>0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5">
      <c r="A85" s="428">
        <v>3</v>
      </c>
      <c r="B85" s="452" t="s">
        <v>639</v>
      </c>
      <c r="C85" s="453">
        <f>IF(C83=0,0,C84/C83)</f>
        <v>0</v>
      </c>
      <c r="D85" s="453">
        <f>IF(LN_IC1=0,0,LN_IC2/LN_IC1)</f>
        <v>4.9546105285625322E-3</v>
      </c>
      <c r="E85" s="454">
        <f t="shared" si="8"/>
        <v>4.9546105285625322E-3</v>
      </c>
      <c r="F85" s="449">
        <f t="shared" si="9"/>
        <v>0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5">
      <c r="A86" s="451">
        <v>4</v>
      </c>
      <c r="B86" s="447" t="s">
        <v>137</v>
      </c>
      <c r="C86" s="456">
        <v>102</v>
      </c>
      <c r="D86" s="456">
        <v>88</v>
      </c>
      <c r="E86" s="456">
        <f t="shared" si="8"/>
        <v>-14</v>
      </c>
      <c r="F86" s="449">
        <f t="shared" si="9"/>
        <v>-0.13725490196078433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5">
      <c r="A87" s="428">
        <v>5</v>
      </c>
      <c r="B87" s="452" t="s">
        <v>640</v>
      </c>
      <c r="C87" s="459">
        <v>1.1252</v>
      </c>
      <c r="D87" s="459">
        <v>1.2588999999999999</v>
      </c>
      <c r="E87" s="460">
        <f t="shared" si="8"/>
        <v>0.13369999999999993</v>
      </c>
      <c r="F87" s="449">
        <f t="shared" si="9"/>
        <v>0.11882332029861352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5">
      <c r="A88" s="451">
        <v>6</v>
      </c>
      <c r="B88" s="452" t="s">
        <v>641</v>
      </c>
      <c r="C88" s="463">
        <f>C86*C87</f>
        <v>114.7704</v>
      </c>
      <c r="D88" s="463">
        <f>LN_IC4*LN_IC5</f>
        <v>110.78319999999999</v>
      </c>
      <c r="E88" s="463">
        <f t="shared" si="8"/>
        <v>-3.9872000000000014</v>
      </c>
      <c r="F88" s="449">
        <f t="shared" si="9"/>
        <v>-3.4740664840411828E-2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5">
      <c r="A89" s="428">
        <v>7</v>
      </c>
      <c r="B89" s="447" t="s">
        <v>642</v>
      </c>
      <c r="C89" s="465">
        <f>IF(C88=0,0,C84/C88)</f>
        <v>0</v>
      </c>
      <c r="D89" s="465">
        <f>IF(LN_IC6=0,0,LN_IC2/LN_IC6)</f>
        <v>73.756670686530086</v>
      </c>
      <c r="E89" s="465">
        <f t="shared" si="8"/>
        <v>73.756670686530086</v>
      </c>
      <c r="F89" s="449">
        <f t="shared" si="9"/>
        <v>0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5">
      <c r="A90" s="451">
        <v>8</v>
      </c>
      <c r="B90" s="447" t="s">
        <v>673</v>
      </c>
      <c r="C90" s="465">
        <f>C48-C89</f>
        <v>9868.8929434574475</v>
      </c>
      <c r="D90" s="465">
        <f>LN_IB7-LN_IC7</f>
        <v>8901.7855718921619</v>
      </c>
      <c r="E90" s="465">
        <f t="shared" si="8"/>
        <v>-967.10737156528558</v>
      </c>
      <c r="F90" s="449">
        <f t="shared" si="9"/>
        <v>-9.7995527675313013E-2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5">
      <c r="A91" s="428">
        <v>9</v>
      </c>
      <c r="B91" s="447" t="s">
        <v>674</v>
      </c>
      <c r="C91" s="465">
        <f>C21-C89</f>
        <v>6530.0787793588142</v>
      </c>
      <c r="D91" s="465">
        <f>LN_IA7-LN_IC7</f>
        <v>5550.5054636766326</v>
      </c>
      <c r="E91" s="465">
        <f t="shared" si="8"/>
        <v>-979.5733156821816</v>
      </c>
      <c r="F91" s="449">
        <f t="shared" si="9"/>
        <v>-0.1500094177697448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5">
      <c r="A92" s="451">
        <v>10</v>
      </c>
      <c r="B92" s="447" t="s">
        <v>659</v>
      </c>
      <c r="C92" s="441">
        <f>C91*C88</f>
        <v>749459.75353852287</v>
      </c>
      <c r="D92" s="441">
        <f>LN_IC9*LN_IC6</f>
        <v>614902.75688358105</v>
      </c>
      <c r="E92" s="441">
        <f t="shared" si="8"/>
        <v>-134556.99665494182</v>
      </c>
      <c r="F92" s="449">
        <f t="shared" si="9"/>
        <v>-0.17953865570451272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5">
      <c r="A93" s="428">
        <v>11</v>
      </c>
      <c r="B93" s="447" t="s">
        <v>139</v>
      </c>
      <c r="C93" s="456">
        <v>360</v>
      </c>
      <c r="D93" s="456">
        <v>286</v>
      </c>
      <c r="E93" s="456">
        <f t="shared" si="8"/>
        <v>-74</v>
      </c>
      <c r="F93" s="449">
        <f t="shared" si="9"/>
        <v>-0.20555555555555555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5">
      <c r="A94" s="451">
        <v>12</v>
      </c>
      <c r="B94" s="447" t="s">
        <v>643</v>
      </c>
      <c r="C94" s="499">
        <f>IF(C93=0,0,C84/C93)</f>
        <v>0</v>
      </c>
      <c r="D94" s="499">
        <f>IF(LN_IC11=0,0,LN_IC2/LN_IC11)</f>
        <v>28.56993006993007</v>
      </c>
      <c r="E94" s="499">
        <f t="shared" si="8"/>
        <v>28.56993006993007</v>
      </c>
      <c r="F94" s="449">
        <f t="shared" si="9"/>
        <v>0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5">
      <c r="A95" s="428">
        <v>13</v>
      </c>
      <c r="B95" s="447" t="s">
        <v>644</v>
      </c>
      <c r="C95" s="466">
        <f>IF(C86=0,0,C93/C86)</f>
        <v>3.5294117647058822</v>
      </c>
      <c r="D95" s="466">
        <f>IF(LN_IC4=0,0,LN_IC11/LN_IC4)</f>
        <v>3.25</v>
      </c>
      <c r="E95" s="466">
        <f t="shared" si="8"/>
        <v>-0.27941176470588225</v>
      </c>
      <c r="F95" s="449">
        <f t="shared" si="9"/>
        <v>-7.9166666666666635E-2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5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5">
      <c r="A98" s="451">
        <v>14</v>
      </c>
      <c r="B98" s="447" t="s">
        <v>646</v>
      </c>
      <c r="C98" s="448">
        <v>5132339</v>
      </c>
      <c r="D98" s="448">
        <v>5404541</v>
      </c>
      <c r="E98" s="448">
        <f t="shared" ref="E98:E106" si="10">D98-C98</f>
        <v>272202</v>
      </c>
      <c r="F98" s="449">
        <f t="shared" ref="F98:F106" si="11">IF(C98=0,0,E98/C98)</f>
        <v>5.3036636901810263E-2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5">
      <c r="A99" s="451">
        <v>15</v>
      </c>
      <c r="B99" s="447" t="s">
        <v>647</v>
      </c>
      <c r="C99" s="448">
        <v>108324</v>
      </c>
      <c r="D99" s="448">
        <v>134643</v>
      </c>
      <c r="E99" s="448">
        <f t="shared" si="10"/>
        <v>26319</v>
      </c>
      <c r="F99" s="449">
        <f t="shared" si="11"/>
        <v>0.24296554780104132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5">
      <c r="A100" s="451">
        <v>16</v>
      </c>
      <c r="B100" s="447" t="s">
        <v>648</v>
      </c>
      <c r="C100" s="453">
        <f>IF(C98=0,0,C99/C98)</f>
        <v>2.1106166213884156E-2</v>
      </c>
      <c r="D100" s="453">
        <f>IF(LN_IC14=0,0,LN_IC15/LN_IC14)</f>
        <v>2.4912938952632611E-2</v>
      </c>
      <c r="E100" s="454">
        <f t="shared" si="10"/>
        <v>3.8067727387484547E-3</v>
      </c>
      <c r="F100" s="449">
        <f t="shared" si="11"/>
        <v>0.18036306073645272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5">
      <c r="A101" s="451">
        <v>17</v>
      </c>
      <c r="B101" s="447" t="s">
        <v>649</v>
      </c>
      <c r="C101" s="453">
        <f>IF(C83=0,0,C98/C83)</f>
        <v>3.7514712149154259</v>
      </c>
      <c r="D101" s="453">
        <f>IF(LN_IC1=0,0,LN_IC14/LN_IC1)</f>
        <v>3.2771259014377527</v>
      </c>
      <c r="E101" s="454">
        <f t="shared" si="10"/>
        <v>-0.47434531347767317</v>
      </c>
      <c r="F101" s="449">
        <f t="shared" si="11"/>
        <v>-0.12644247717848128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5">
      <c r="A102" s="451">
        <v>18</v>
      </c>
      <c r="B102" s="447" t="s">
        <v>650</v>
      </c>
      <c r="C102" s="463">
        <f>C101*C86</f>
        <v>382.65006392137343</v>
      </c>
      <c r="D102" s="463">
        <f>LN_IC17*LN_IC4</f>
        <v>288.38707932652221</v>
      </c>
      <c r="E102" s="463">
        <f t="shared" si="10"/>
        <v>-94.262984594851218</v>
      </c>
      <c r="F102" s="449">
        <f t="shared" si="11"/>
        <v>-0.24634252933045447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5">
      <c r="A103" s="451">
        <v>19</v>
      </c>
      <c r="B103" s="452" t="s">
        <v>651</v>
      </c>
      <c r="C103" s="465">
        <f>IF(C102=0,0,C99/C102)</f>
        <v>283.08893742209938</v>
      </c>
      <c r="D103" s="465">
        <f>IF(LN_IC18=0,0,LN_IC15/LN_IC18)</f>
        <v>466.88291415286454</v>
      </c>
      <c r="E103" s="465">
        <f t="shared" si="10"/>
        <v>183.79397673076517</v>
      </c>
      <c r="F103" s="449">
        <f t="shared" si="11"/>
        <v>0.64924464517919123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5">
      <c r="A104" s="451">
        <v>20</v>
      </c>
      <c r="B104" s="452" t="s">
        <v>676</v>
      </c>
      <c r="C104" s="465">
        <f>C61-C103</f>
        <v>7172.7451413094495</v>
      </c>
      <c r="D104" s="465">
        <f>LN_IB18-LN_IC19</f>
        <v>7484.6454667799244</v>
      </c>
      <c r="E104" s="465">
        <f t="shared" si="10"/>
        <v>311.90032547047485</v>
      </c>
      <c r="F104" s="449">
        <f t="shared" si="11"/>
        <v>4.3484094210202849E-2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5">
      <c r="A105" s="451">
        <v>21</v>
      </c>
      <c r="B105" s="447" t="s">
        <v>677</v>
      </c>
      <c r="C105" s="465">
        <f>C32-C103</f>
        <v>5135.7294065113092</v>
      </c>
      <c r="D105" s="465">
        <f>LN_IA16-LN_IC19</f>
        <v>4736.3468616780083</v>
      </c>
      <c r="E105" s="465">
        <f t="shared" si="10"/>
        <v>-399.38254483330093</v>
      </c>
      <c r="F105" s="449">
        <f t="shared" si="11"/>
        <v>-7.776549604170066E-2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5">
      <c r="A106" s="451">
        <v>22</v>
      </c>
      <c r="B106" s="452" t="s">
        <v>662</v>
      </c>
      <c r="C106" s="448">
        <f>C105*C102</f>
        <v>1965187.1856844297</v>
      </c>
      <c r="D106" s="448">
        <f>LN_IC21*LN_IC18</f>
        <v>1365901.2381166604</v>
      </c>
      <c r="E106" s="448">
        <f t="shared" si="10"/>
        <v>-599285.94756776933</v>
      </c>
      <c r="F106" s="449">
        <f t="shared" si="11"/>
        <v>-0.3049510763826051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5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5">
      <c r="A109" s="451">
        <v>23</v>
      </c>
      <c r="B109" s="447" t="s">
        <v>653</v>
      </c>
      <c r="C109" s="448">
        <f>C83+C98</f>
        <v>6500426</v>
      </c>
      <c r="D109" s="448">
        <f>LN_IC1+LN_IC14</f>
        <v>7053712</v>
      </c>
      <c r="E109" s="448">
        <f>D109-C109</f>
        <v>553286</v>
      </c>
      <c r="F109" s="449">
        <f>IF(C109=0,0,E109/C109)</f>
        <v>8.5115344748174962E-2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5">
      <c r="A110" s="451">
        <v>24</v>
      </c>
      <c r="B110" s="447" t="s">
        <v>654</v>
      </c>
      <c r="C110" s="448">
        <f>C84+C99</f>
        <v>108324</v>
      </c>
      <c r="D110" s="448">
        <f>LN_IC2+LN_IC15</f>
        <v>142814</v>
      </c>
      <c r="E110" s="448">
        <f>D110-C110</f>
        <v>34490</v>
      </c>
      <c r="F110" s="449">
        <f>IF(C110=0,0,E110/C110)</f>
        <v>0.31839666186625309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5">
      <c r="A111" s="451">
        <v>25</v>
      </c>
      <c r="B111" s="447" t="s">
        <v>655</v>
      </c>
      <c r="C111" s="448">
        <f>C109-C110</f>
        <v>6392102</v>
      </c>
      <c r="D111" s="448">
        <f>LN_IC23-LN_IC24</f>
        <v>6910898</v>
      </c>
      <c r="E111" s="448">
        <f>D111-C111</f>
        <v>518796</v>
      </c>
      <c r="F111" s="449">
        <f>IF(C111=0,0,E111/C111)</f>
        <v>8.1162034022611032E-2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5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5">
      <c r="A113" s="451">
        <v>26</v>
      </c>
      <c r="B113" s="447" t="s">
        <v>664</v>
      </c>
      <c r="C113" s="448">
        <f>C92+C106</f>
        <v>2714646.9392229524</v>
      </c>
      <c r="D113" s="448">
        <f>LN_IC10+LN_IC22</f>
        <v>1980803.9950002413</v>
      </c>
      <c r="E113" s="448">
        <f>D113-C113</f>
        <v>-733842.94422271103</v>
      </c>
      <c r="F113" s="449">
        <f>IF(C113=0,0,E113/C113)</f>
        <v>-0.27032721405486643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5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3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3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5">
      <c r="A118" s="428">
        <v>1</v>
      </c>
      <c r="B118" s="447" t="s">
        <v>637</v>
      </c>
      <c r="C118" s="448">
        <v>32931847</v>
      </c>
      <c r="D118" s="448">
        <v>33382116</v>
      </c>
      <c r="E118" s="448">
        <f t="shared" ref="E118:E130" si="12">D118-C118</f>
        <v>450269</v>
      </c>
      <c r="F118" s="449">
        <f t="shared" ref="F118:F130" si="13">IF(C118=0,0,E118/C118)</f>
        <v>1.3672752700448293E-2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5">
      <c r="A119" s="451">
        <v>2</v>
      </c>
      <c r="B119" s="447" t="s">
        <v>638</v>
      </c>
      <c r="C119" s="448">
        <v>7687592</v>
      </c>
      <c r="D119" s="448">
        <v>8522358</v>
      </c>
      <c r="E119" s="448">
        <f t="shared" si="12"/>
        <v>834766</v>
      </c>
      <c r="F119" s="449">
        <f t="shared" si="13"/>
        <v>0.10858614765195655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5">
      <c r="A120" s="451">
        <v>3</v>
      </c>
      <c r="B120" s="452" t="s">
        <v>639</v>
      </c>
      <c r="C120" s="453">
        <f>IF(C118=0,0,C119/C118)</f>
        <v>0.23343944237321398</v>
      </c>
      <c r="D120" s="453">
        <f>IF(LN_ID1=0,0,LN_1D2/LN_ID1)</f>
        <v>0.25529711777407998</v>
      </c>
      <c r="E120" s="454">
        <f t="shared" si="12"/>
        <v>2.1857675400866E-2</v>
      </c>
      <c r="F120" s="449">
        <f t="shared" si="13"/>
        <v>9.3633171749617147E-2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5">
      <c r="A121" s="451">
        <v>4</v>
      </c>
      <c r="B121" s="447" t="s">
        <v>137</v>
      </c>
      <c r="C121" s="456">
        <v>1840</v>
      </c>
      <c r="D121" s="456">
        <v>1721</v>
      </c>
      <c r="E121" s="456">
        <f t="shared" si="12"/>
        <v>-119</v>
      </c>
      <c r="F121" s="449">
        <f t="shared" si="13"/>
        <v>-6.4673913043478262E-2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5">
      <c r="A122" s="451">
        <v>5</v>
      </c>
      <c r="B122" s="452" t="s">
        <v>640</v>
      </c>
      <c r="C122" s="459">
        <v>0.93630000000000002</v>
      </c>
      <c r="D122" s="459">
        <v>1.1167</v>
      </c>
      <c r="E122" s="460">
        <f t="shared" si="12"/>
        <v>0.1804</v>
      </c>
      <c r="F122" s="449">
        <f t="shared" si="13"/>
        <v>0.19267328847591583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5">
      <c r="A123" s="451">
        <v>6</v>
      </c>
      <c r="B123" s="452" t="s">
        <v>641</v>
      </c>
      <c r="C123" s="463">
        <f>C121*C122</f>
        <v>1722.7920000000001</v>
      </c>
      <c r="D123" s="463">
        <f>LN_ID4*LN_ID5</f>
        <v>1921.8407</v>
      </c>
      <c r="E123" s="463">
        <f t="shared" si="12"/>
        <v>199.04869999999983</v>
      </c>
      <c r="F123" s="449">
        <f t="shared" si="13"/>
        <v>0.11553843992774508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5">
      <c r="A124" s="451">
        <v>7</v>
      </c>
      <c r="B124" s="447" t="s">
        <v>642</v>
      </c>
      <c r="C124" s="465">
        <f>IF(C123=0,0,C119/C123)</f>
        <v>4462.2867995672141</v>
      </c>
      <c r="D124" s="465">
        <f>IF(LN_ID6=0,0,LN_1D2/LN_ID6)</f>
        <v>4434.4768013290595</v>
      </c>
      <c r="E124" s="465">
        <f t="shared" si="12"/>
        <v>-27.809998238154549</v>
      </c>
      <c r="F124" s="449">
        <f t="shared" si="13"/>
        <v>-6.2322301293703869E-3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5">
      <c r="A125" s="451">
        <v>8</v>
      </c>
      <c r="B125" s="447" t="s">
        <v>681</v>
      </c>
      <c r="C125" s="465">
        <f>C48-C124</f>
        <v>5406.6061438902334</v>
      </c>
      <c r="D125" s="465">
        <f>LN_IB7-LN_ID7</f>
        <v>4541.0654412496333</v>
      </c>
      <c r="E125" s="465">
        <f t="shared" si="12"/>
        <v>-865.5407026406001</v>
      </c>
      <c r="F125" s="449">
        <f t="shared" si="13"/>
        <v>-0.16008946825518433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5">
      <c r="A126" s="451">
        <v>9</v>
      </c>
      <c r="B126" s="447" t="s">
        <v>682</v>
      </c>
      <c r="C126" s="465">
        <f>C21-C124</f>
        <v>2067.7919797916002</v>
      </c>
      <c r="D126" s="465">
        <f>LN_IA7-LN_ID7</f>
        <v>1189.7853330341031</v>
      </c>
      <c r="E126" s="465">
        <f t="shared" si="12"/>
        <v>-878.00664675749704</v>
      </c>
      <c r="F126" s="449">
        <f t="shared" si="13"/>
        <v>-0.42461072261533089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5">
      <c r="A127" s="451">
        <v>10</v>
      </c>
      <c r="B127" s="447" t="s">
        <v>659</v>
      </c>
      <c r="C127" s="479">
        <f>C126*C123</f>
        <v>3562375.4804491308</v>
      </c>
      <c r="D127" s="479">
        <f>LN_ID9*LN_ID6</f>
        <v>2286577.8772879937</v>
      </c>
      <c r="E127" s="479">
        <f t="shared" si="12"/>
        <v>-1275797.6031611371</v>
      </c>
      <c r="F127" s="449">
        <f t="shared" si="13"/>
        <v>-0.35813114315515371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5">
      <c r="A128" s="451">
        <v>11</v>
      </c>
      <c r="B128" s="447" t="s">
        <v>139</v>
      </c>
      <c r="C128" s="456">
        <v>7135</v>
      </c>
      <c r="D128" s="456">
        <v>6501</v>
      </c>
      <c r="E128" s="456">
        <f t="shared" si="12"/>
        <v>-634</v>
      </c>
      <c r="F128" s="449">
        <f t="shared" si="13"/>
        <v>-8.8857743517869653E-2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5">
      <c r="A129" s="451">
        <v>12</v>
      </c>
      <c r="B129" s="447" t="s">
        <v>643</v>
      </c>
      <c r="C129" s="465">
        <f>IF(C128=0,0,C119/C128)</f>
        <v>1077.4480728801682</v>
      </c>
      <c r="D129" s="465">
        <f>IF(LN_ID11=0,0,LN_1D2/LN_ID11)</f>
        <v>1310.930318412552</v>
      </c>
      <c r="E129" s="465">
        <f t="shared" si="12"/>
        <v>233.48224553238379</v>
      </c>
      <c r="F129" s="449">
        <f t="shared" si="13"/>
        <v>0.21669930218377331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5">
      <c r="A130" s="451">
        <v>13</v>
      </c>
      <c r="B130" s="447" t="s">
        <v>644</v>
      </c>
      <c r="C130" s="466">
        <f>IF(C121=0,0,C128/C121)</f>
        <v>3.8777173913043477</v>
      </c>
      <c r="D130" s="466">
        <f>IF(LN_ID4=0,0,LN_ID11/LN_ID4)</f>
        <v>3.7774549680418361</v>
      </c>
      <c r="E130" s="466">
        <f t="shared" si="12"/>
        <v>-0.10026242326251156</v>
      </c>
      <c r="F130" s="449">
        <f t="shared" si="13"/>
        <v>-2.5856041878489316E-2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5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5">
      <c r="A133" s="451">
        <v>14</v>
      </c>
      <c r="B133" s="447" t="s">
        <v>646</v>
      </c>
      <c r="C133" s="448">
        <v>65028189</v>
      </c>
      <c r="D133" s="448">
        <v>66564050</v>
      </c>
      <c r="E133" s="448">
        <f t="shared" ref="E133:E141" si="14">D133-C133</f>
        <v>1535861</v>
      </c>
      <c r="F133" s="449">
        <f t="shared" ref="F133:F141" si="15">IF(C133=0,0,E133/C133)</f>
        <v>2.3618388019386486E-2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5">
      <c r="A134" s="451">
        <v>15</v>
      </c>
      <c r="B134" s="447" t="s">
        <v>647</v>
      </c>
      <c r="C134" s="448">
        <v>13782560</v>
      </c>
      <c r="D134" s="448">
        <v>13913687</v>
      </c>
      <c r="E134" s="448">
        <f t="shared" si="14"/>
        <v>131127</v>
      </c>
      <c r="F134" s="449">
        <f t="shared" si="15"/>
        <v>9.5139799863015288E-3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5">
      <c r="A135" s="451">
        <v>16</v>
      </c>
      <c r="B135" s="447" t="s">
        <v>648</v>
      </c>
      <c r="C135" s="453">
        <f>IF(C133=0,0,C134/C133)</f>
        <v>0.21194746788965629</v>
      </c>
      <c r="D135" s="453">
        <f>IF(LN_ID14=0,0,LN_ID15/LN_ID14)</f>
        <v>0.20902704988653786</v>
      </c>
      <c r="E135" s="454">
        <f t="shared" si="14"/>
        <v>-2.9204180031184301E-3</v>
      </c>
      <c r="F135" s="449">
        <f t="shared" si="15"/>
        <v>-1.3778970950664307E-2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5">
      <c r="A136" s="451">
        <v>17</v>
      </c>
      <c r="B136" s="447" t="s">
        <v>649</v>
      </c>
      <c r="C136" s="453">
        <f>IF(C118=0,0,C133/C118)</f>
        <v>1.9746292699586512</v>
      </c>
      <c r="D136" s="453">
        <f>IF(LN_ID1=0,0,LN_ID14/LN_ID1)</f>
        <v>1.9940033160270607</v>
      </c>
      <c r="E136" s="454">
        <f t="shared" si="14"/>
        <v>1.9374046068409534E-2</v>
      </c>
      <c r="F136" s="449">
        <f t="shared" si="15"/>
        <v>9.811485306715436E-3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5">
      <c r="A137" s="451">
        <v>18</v>
      </c>
      <c r="B137" s="447" t="s">
        <v>650</v>
      </c>
      <c r="C137" s="463">
        <f>C136*C121</f>
        <v>3633.3178567239183</v>
      </c>
      <c r="D137" s="463">
        <f>LN_ID17*LN_ID4</f>
        <v>3431.6797068825713</v>
      </c>
      <c r="E137" s="463">
        <f t="shared" si="14"/>
        <v>-201.63814984134706</v>
      </c>
      <c r="F137" s="449">
        <f t="shared" si="15"/>
        <v>-5.5496974884316805E-2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5">
      <c r="A138" s="451">
        <v>19</v>
      </c>
      <c r="B138" s="452" t="s">
        <v>651</v>
      </c>
      <c r="C138" s="465">
        <f>IF(C137=0,0,C134/C137)</f>
        <v>3793.3812959671595</v>
      </c>
      <c r="D138" s="465">
        <f>IF(LN_ID18=0,0,LN_ID15/LN_ID18)</f>
        <v>4054.4829903836107</v>
      </c>
      <c r="E138" s="465">
        <f t="shared" si="14"/>
        <v>261.10169441645121</v>
      </c>
      <c r="F138" s="449">
        <f t="shared" si="15"/>
        <v>6.8830859342833547E-2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5">
      <c r="A139" s="451">
        <v>20</v>
      </c>
      <c r="B139" s="452" t="s">
        <v>684</v>
      </c>
      <c r="C139" s="465">
        <f>C61-C138</f>
        <v>3662.4527827643897</v>
      </c>
      <c r="D139" s="465">
        <f>LN_IB18-LN_ID19</f>
        <v>3897.0453905491786</v>
      </c>
      <c r="E139" s="465">
        <f t="shared" si="14"/>
        <v>234.59260778478892</v>
      </c>
      <c r="F139" s="449">
        <f t="shared" si="15"/>
        <v>6.4053414937876779E-2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5">
      <c r="A140" s="451">
        <v>21</v>
      </c>
      <c r="B140" s="447" t="s">
        <v>685</v>
      </c>
      <c r="C140" s="465">
        <f>C32-C138</f>
        <v>1625.4370479662493</v>
      </c>
      <c r="D140" s="465">
        <f>LN_IA16-LN_ID19</f>
        <v>1148.7467854472625</v>
      </c>
      <c r="E140" s="465">
        <f t="shared" si="14"/>
        <v>-476.69026251898686</v>
      </c>
      <c r="F140" s="449">
        <f t="shared" si="15"/>
        <v>-0.29326897840517591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5">
      <c r="A141" s="428">
        <v>22</v>
      </c>
      <c r="B141" s="452" t="s">
        <v>662</v>
      </c>
      <c r="C141" s="441">
        <f>C140*C137</f>
        <v>5905729.4513563858</v>
      </c>
      <c r="D141" s="441">
        <f>LN_ID21*LN_ID18</f>
        <v>3942131.0319659575</v>
      </c>
      <c r="E141" s="441">
        <f t="shared" si="14"/>
        <v>-1963598.4193904283</v>
      </c>
      <c r="F141" s="449">
        <f t="shared" si="15"/>
        <v>-0.33249041216059144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5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3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5">
      <c r="A144" s="451">
        <v>23</v>
      </c>
      <c r="B144" s="447" t="s">
        <v>653</v>
      </c>
      <c r="C144" s="448">
        <f>C118+C133</f>
        <v>97960036</v>
      </c>
      <c r="D144" s="448">
        <f>LN_ID1+LN_ID14</f>
        <v>99946166</v>
      </c>
      <c r="E144" s="448">
        <f>D144-C144</f>
        <v>1986130</v>
      </c>
      <c r="F144" s="449">
        <f>IF(C144=0,0,E144/C144)</f>
        <v>2.0274900674801713E-2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5">
      <c r="A145" s="451">
        <v>24</v>
      </c>
      <c r="B145" s="447" t="s">
        <v>654</v>
      </c>
      <c r="C145" s="448">
        <f>C119+C134</f>
        <v>21470152</v>
      </c>
      <c r="D145" s="448">
        <f>LN_1D2+LN_ID15</f>
        <v>22436045</v>
      </c>
      <c r="E145" s="448">
        <f>D145-C145</f>
        <v>965893</v>
      </c>
      <c r="F145" s="449">
        <f>IF(C145=0,0,E145/C145)</f>
        <v>4.4987711311964627E-2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5">
      <c r="A146" s="451">
        <v>25</v>
      </c>
      <c r="B146" s="447" t="s">
        <v>655</v>
      </c>
      <c r="C146" s="448">
        <f>C144-C145</f>
        <v>76489884</v>
      </c>
      <c r="D146" s="448">
        <f>LN_ID23-LN_ID24</f>
        <v>77510121</v>
      </c>
      <c r="E146" s="448">
        <f>D146-C146</f>
        <v>1020237</v>
      </c>
      <c r="F146" s="449">
        <f>IF(C146=0,0,E146/C146)</f>
        <v>1.3338195152708036E-2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5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5">
      <c r="A148" s="451">
        <v>26</v>
      </c>
      <c r="B148" s="447" t="s">
        <v>664</v>
      </c>
      <c r="C148" s="448">
        <f>C127+C141</f>
        <v>9468104.9318055175</v>
      </c>
      <c r="D148" s="448">
        <f>LN_ID10+LN_ID22</f>
        <v>6228708.9092539512</v>
      </c>
      <c r="E148" s="448">
        <f>D148-C148</f>
        <v>-3239396.0225515664</v>
      </c>
      <c r="F148" s="503">
        <f>IF(C148=0,0,E148/C148)</f>
        <v>-0.34213773990502561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5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3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5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5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5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5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5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5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5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5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5">
      <c r="A160" s="451">
        <v>8</v>
      </c>
      <c r="B160" s="510" t="s">
        <v>689</v>
      </c>
      <c r="C160" s="465">
        <f>C48-C159</f>
        <v>9868.8929434574475</v>
      </c>
      <c r="D160" s="465">
        <f>LN_IB7-LN_IE7</f>
        <v>8975.5422425786928</v>
      </c>
      <c r="E160" s="465">
        <f t="shared" si="16"/>
        <v>-893.35070087875465</v>
      </c>
      <c r="F160" s="449">
        <f t="shared" si="17"/>
        <v>-9.0521875756185879E-2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5">
      <c r="A161" s="451">
        <v>9</v>
      </c>
      <c r="B161" s="510" t="s">
        <v>690</v>
      </c>
      <c r="C161" s="465">
        <f>C21-C159</f>
        <v>6530.0787793588142</v>
      </c>
      <c r="D161" s="465">
        <f>LN_IA7-LN_IE7</f>
        <v>5624.2621343631627</v>
      </c>
      <c r="E161" s="465">
        <f t="shared" si="16"/>
        <v>-905.81664499565159</v>
      </c>
      <c r="F161" s="449">
        <f t="shared" si="17"/>
        <v>-0.13871450492433315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5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5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5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5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5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5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5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5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5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5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5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5">
      <c r="A174" s="451">
        <v>20</v>
      </c>
      <c r="B174" s="510" t="s">
        <v>692</v>
      </c>
      <c r="C174" s="465">
        <f>C61-C173</f>
        <v>7455.8340787315492</v>
      </c>
      <c r="D174" s="465">
        <f>LN_IB18-LN_IE19</f>
        <v>7951.5283809327893</v>
      </c>
      <c r="E174" s="465">
        <f t="shared" si="18"/>
        <v>495.69430220124013</v>
      </c>
      <c r="F174" s="449">
        <f t="shared" si="19"/>
        <v>6.6484084405157781E-2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5">
      <c r="A175" s="451">
        <v>21</v>
      </c>
      <c r="B175" s="510" t="s">
        <v>693</v>
      </c>
      <c r="C175" s="465">
        <f>C32-C173</f>
        <v>5418.8183439334089</v>
      </c>
      <c r="D175" s="465">
        <f>LN_IA16-LN_IE19</f>
        <v>5203.2297758308732</v>
      </c>
      <c r="E175" s="465">
        <f t="shared" si="18"/>
        <v>-215.58856810253565</v>
      </c>
      <c r="F175" s="449">
        <f t="shared" si="19"/>
        <v>-3.9785162450388462E-2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5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5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5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5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5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5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5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5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3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3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5">
      <c r="A188" s="428">
        <v>1</v>
      </c>
      <c r="B188" s="447" t="s">
        <v>637</v>
      </c>
      <c r="C188" s="448">
        <f>C118+C153</f>
        <v>32931847</v>
      </c>
      <c r="D188" s="448">
        <f>LN_ID1+LN_IE1</f>
        <v>33382116</v>
      </c>
      <c r="E188" s="448">
        <f t="shared" ref="E188:E200" si="20">D188-C188</f>
        <v>450269</v>
      </c>
      <c r="F188" s="449">
        <f t="shared" ref="F188:F200" si="21">IF(C188=0,0,E188/C188)</f>
        <v>1.3672752700448293E-2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5">
      <c r="A189" s="451">
        <v>2</v>
      </c>
      <c r="B189" s="447" t="s">
        <v>638</v>
      </c>
      <c r="C189" s="448">
        <f>C119+C154</f>
        <v>7687592</v>
      </c>
      <c r="D189" s="448">
        <f>LN_1D2+LN_IE2</f>
        <v>8522358</v>
      </c>
      <c r="E189" s="448">
        <f t="shared" si="20"/>
        <v>834766</v>
      </c>
      <c r="F189" s="449">
        <f t="shared" si="21"/>
        <v>0.10858614765195655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5">
      <c r="A190" s="451">
        <v>3</v>
      </c>
      <c r="B190" s="452" t="s">
        <v>639</v>
      </c>
      <c r="C190" s="453">
        <f>IF(C188=0,0,C189/C188)</f>
        <v>0.23343944237321398</v>
      </c>
      <c r="D190" s="453">
        <f>IF(LN_IF1=0,0,LN_IF2/LN_IF1)</f>
        <v>0.25529711777407998</v>
      </c>
      <c r="E190" s="454">
        <f t="shared" si="20"/>
        <v>2.1857675400866E-2</v>
      </c>
      <c r="F190" s="449">
        <f t="shared" si="21"/>
        <v>9.3633171749617147E-2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5">
      <c r="A191" s="451">
        <v>4</v>
      </c>
      <c r="B191" s="447" t="s">
        <v>137</v>
      </c>
      <c r="C191" s="456">
        <f>C121+C156</f>
        <v>1840</v>
      </c>
      <c r="D191" s="456">
        <f>LN_ID4+LN_IE4</f>
        <v>1721</v>
      </c>
      <c r="E191" s="456">
        <f t="shared" si="20"/>
        <v>-119</v>
      </c>
      <c r="F191" s="449">
        <f t="shared" si="21"/>
        <v>-6.4673913043478262E-2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5">
      <c r="A192" s="451">
        <v>5</v>
      </c>
      <c r="B192" s="452" t="s">
        <v>640</v>
      </c>
      <c r="C192" s="459">
        <f>IF((C121+C156)=0,0,(C123+C158)/(C121+C156))</f>
        <v>0.93630000000000013</v>
      </c>
      <c r="D192" s="459">
        <f>IF((LN_ID4+LN_IE4)=0,0,(LN_ID6+LN_IE6)/(LN_ID4+LN_IE4))</f>
        <v>1.1167</v>
      </c>
      <c r="E192" s="460">
        <f t="shared" si="20"/>
        <v>0.18039999999999989</v>
      </c>
      <c r="F192" s="449">
        <f t="shared" si="21"/>
        <v>0.19267328847591569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5">
      <c r="A193" s="451">
        <v>6</v>
      </c>
      <c r="B193" s="452" t="s">
        <v>641</v>
      </c>
      <c r="C193" s="463">
        <f>C123+C158</f>
        <v>1722.7920000000001</v>
      </c>
      <c r="D193" s="463">
        <f>LN_IF4*LN_IF5</f>
        <v>1921.8407</v>
      </c>
      <c r="E193" s="463">
        <f t="shared" si="20"/>
        <v>199.04869999999983</v>
      </c>
      <c r="F193" s="449">
        <f t="shared" si="21"/>
        <v>0.11553843992774508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5">
      <c r="A194" s="451">
        <v>7</v>
      </c>
      <c r="B194" s="447" t="s">
        <v>642</v>
      </c>
      <c r="C194" s="465">
        <f>IF(C193=0,0,C189/C193)</f>
        <v>4462.2867995672141</v>
      </c>
      <c r="D194" s="465">
        <f>IF(LN_IF6=0,0,LN_IF2/LN_IF6)</f>
        <v>4434.4768013290595</v>
      </c>
      <c r="E194" s="465">
        <f t="shared" si="20"/>
        <v>-27.809998238154549</v>
      </c>
      <c r="F194" s="449">
        <f t="shared" si="21"/>
        <v>-6.2322301293703869E-3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5">
      <c r="A195" s="451">
        <v>8</v>
      </c>
      <c r="B195" s="445" t="s">
        <v>698</v>
      </c>
      <c r="C195" s="465">
        <f>C48-C194</f>
        <v>5406.6061438902334</v>
      </c>
      <c r="D195" s="465">
        <f>LN_IB7-LN_IF7</f>
        <v>4541.0654412496333</v>
      </c>
      <c r="E195" s="465">
        <f t="shared" si="20"/>
        <v>-865.5407026406001</v>
      </c>
      <c r="F195" s="449">
        <f t="shared" si="21"/>
        <v>-0.16008946825518433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5">
      <c r="A196" s="451">
        <v>9</v>
      </c>
      <c r="B196" s="452" t="s">
        <v>699</v>
      </c>
      <c r="C196" s="465">
        <f>C21-C194</f>
        <v>2067.7919797916002</v>
      </c>
      <c r="D196" s="465">
        <f>LN_IA7-LN_IF7</f>
        <v>1189.7853330341031</v>
      </c>
      <c r="E196" s="465">
        <f t="shared" si="20"/>
        <v>-878.00664675749704</v>
      </c>
      <c r="F196" s="449">
        <f t="shared" si="21"/>
        <v>-0.42461072261533089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5">
      <c r="A197" s="451">
        <v>10</v>
      </c>
      <c r="B197" s="447" t="s">
        <v>659</v>
      </c>
      <c r="C197" s="479">
        <f>C127+C162</f>
        <v>3562375.4804491308</v>
      </c>
      <c r="D197" s="479">
        <f>LN_IF9*LN_IF6</f>
        <v>2286577.8772879937</v>
      </c>
      <c r="E197" s="479">
        <f t="shared" si="20"/>
        <v>-1275797.6031611371</v>
      </c>
      <c r="F197" s="449">
        <f t="shared" si="21"/>
        <v>-0.35813114315515371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5">
      <c r="A198" s="451">
        <v>11</v>
      </c>
      <c r="B198" s="447" t="s">
        <v>139</v>
      </c>
      <c r="C198" s="456">
        <f>C128+C163</f>
        <v>7135</v>
      </c>
      <c r="D198" s="456">
        <f>LN_ID11+LN_IE11</f>
        <v>6501</v>
      </c>
      <c r="E198" s="456">
        <f t="shared" si="20"/>
        <v>-634</v>
      </c>
      <c r="F198" s="449">
        <f t="shared" si="21"/>
        <v>-8.8857743517869653E-2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5">
      <c r="A199" s="451">
        <v>12</v>
      </c>
      <c r="B199" s="447" t="s">
        <v>643</v>
      </c>
      <c r="C199" s="519">
        <f>IF(C198=0,0,C189/C198)</f>
        <v>1077.4480728801682</v>
      </c>
      <c r="D199" s="519">
        <f>IF(LN_IF11=0,0,LN_IF2/LN_IF11)</f>
        <v>1310.930318412552</v>
      </c>
      <c r="E199" s="519">
        <f t="shared" si="20"/>
        <v>233.48224553238379</v>
      </c>
      <c r="F199" s="449">
        <f t="shared" si="21"/>
        <v>0.21669930218377331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5">
      <c r="A200" s="451">
        <v>13</v>
      </c>
      <c r="B200" s="447" t="s">
        <v>644</v>
      </c>
      <c r="C200" s="466">
        <f>IF(C191=0,0,C198/C191)</f>
        <v>3.8777173913043477</v>
      </c>
      <c r="D200" s="466">
        <f>IF(LN_IF4=0,0,LN_IF11/LN_IF4)</f>
        <v>3.7774549680418361</v>
      </c>
      <c r="E200" s="466">
        <f t="shared" si="20"/>
        <v>-0.10026242326251156</v>
      </c>
      <c r="F200" s="449">
        <f t="shared" si="21"/>
        <v>-2.5856041878489316E-2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5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5">
      <c r="A203" s="428">
        <v>14</v>
      </c>
      <c r="B203" s="447" t="s">
        <v>646</v>
      </c>
      <c r="C203" s="448">
        <f>C133+C168</f>
        <v>65028189</v>
      </c>
      <c r="D203" s="448">
        <f>LN_ID14+LN_IE14</f>
        <v>66564050</v>
      </c>
      <c r="E203" s="448">
        <f t="shared" ref="E203:E211" si="22">D203-C203</f>
        <v>1535861</v>
      </c>
      <c r="F203" s="449">
        <f t="shared" ref="F203:F211" si="23">IF(C203=0,0,E203/C203)</f>
        <v>2.3618388019386486E-2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5">
      <c r="A204" s="428">
        <v>15</v>
      </c>
      <c r="B204" s="447" t="s">
        <v>647</v>
      </c>
      <c r="C204" s="448">
        <f>C134+C169</f>
        <v>13782560</v>
      </c>
      <c r="D204" s="448">
        <f>LN_ID15+LN_IE15</f>
        <v>13913687</v>
      </c>
      <c r="E204" s="448">
        <f t="shared" si="22"/>
        <v>131127</v>
      </c>
      <c r="F204" s="449">
        <f t="shared" si="23"/>
        <v>9.5139799863015288E-3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5">
      <c r="A205" s="428">
        <v>16</v>
      </c>
      <c r="B205" s="447" t="s">
        <v>648</v>
      </c>
      <c r="C205" s="453">
        <f>IF(C203=0,0,C204/C203)</f>
        <v>0.21194746788965629</v>
      </c>
      <c r="D205" s="453">
        <f>IF(LN_IF14=0,0,LN_IF15/LN_IF14)</f>
        <v>0.20902704988653786</v>
      </c>
      <c r="E205" s="454">
        <f t="shared" si="22"/>
        <v>-2.9204180031184301E-3</v>
      </c>
      <c r="F205" s="449">
        <f t="shared" si="23"/>
        <v>-1.3778970950664307E-2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5">
      <c r="A206" s="428">
        <v>17</v>
      </c>
      <c r="B206" s="447" t="s">
        <v>649</v>
      </c>
      <c r="C206" s="453">
        <f>IF(C188=0,0,C203/C188)</f>
        <v>1.9746292699586512</v>
      </c>
      <c r="D206" s="453">
        <f>IF(LN_IF1=0,0,LN_IF14/LN_IF1)</f>
        <v>1.9940033160270607</v>
      </c>
      <c r="E206" s="454">
        <f t="shared" si="22"/>
        <v>1.9374046068409534E-2</v>
      </c>
      <c r="F206" s="449">
        <f t="shared" si="23"/>
        <v>9.811485306715436E-3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5">
      <c r="A207" s="428">
        <v>18</v>
      </c>
      <c r="B207" s="447" t="s">
        <v>650</v>
      </c>
      <c r="C207" s="463">
        <f>C137+C172</f>
        <v>3633.3178567239183</v>
      </c>
      <c r="D207" s="463">
        <f>LN_ID18+LN_IE18</f>
        <v>3431.6797068825713</v>
      </c>
      <c r="E207" s="463">
        <f t="shared" si="22"/>
        <v>-201.63814984134706</v>
      </c>
      <c r="F207" s="449">
        <f t="shared" si="23"/>
        <v>-5.5496974884316805E-2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5">
      <c r="A208" s="428">
        <v>19</v>
      </c>
      <c r="B208" s="452" t="s">
        <v>651</v>
      </c>
      <c r="C208" s="465">
        <f>IF(C207=0,0,C204/C207)</f>
        <v>3793.3812959671595</v>
      </c>
      <c r="D208" s="465">
        <f>IF(LN_IF18=0,0,LN_IF15/LN_IF18)</f>
        <v>4054.4829903836107</v>
      </c>
      <c r="E208" s="465">
        <f t="shared" si="22"/>
        <v>261.10169441645121</v>
      </c>
      <c r="F208" s="449">
        <f t="shared" si="23"/>
        <v>6.8830859342833547E-2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5">
      <c r="A209" s="428">
        <v>20</v>
      </c>
      <c r="B209" s="452" t="s">
        <v>701</v>
      </c>
      <c r="C209" s="465">
        <f>C61-C208</f>
        <v>3662.4527827643897</v>
      </c>
      <c r="D209" s="465">
        <f>LN_IB18-LN_IF19</f>
        <v>3897.0453905491786</v>
      </c>
      <c r="E209" s="465">
        <f t="shared" si="22"/>
        <v>234.59260778478892</v>
      </c>
      <c r="F209" s="449">
        <f t="shared" si="23"/>
        <v>6.4053414937876779E-2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5">
      <c r="A210" s="428">
        <v>21</v>
      </c>
      <c r="B210" s="452" t="s">
        <v>702</v>
      </c>
      <c r="C210" s="465">
        <f>C32-C208</f>
        <v>1625.4370479662493</v>
      </c>
      <c r="D210" s="465">
        <f>LN_IA16-LN_IF19</f>
        <v>1148.7467854472625</v>
      </c>
      <c r="E210" s="465">
        <f t="shared" si="22"/>
        <v>-476.69026251898686</v>
      </c>
      <c r="F210" s="449">
        <f t="shared" si="23"/>
        <v>-0.29326897840517591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5">
      <c r="A211" s="428">
        <v>22</v>
      </c>
      <c r="B211" s="452" t="s">
        <v>662</v>
      </c>
      <c r="C211" s="479">
        <f>C141+C176</f>
        <v>5905729.4513563858</v>
      </c>
      <c r="D211" s="441">
        <f>LN_IF21*LN_IF18</f>
        <v>3942131.0319659575</v>
      </c>
      <c r="E211" s="441">
        <f t="shared" si="22"/>
        <v>-1963598.4193904283</v>
      </c>
      <c r="F211" s="449">
        <f t="shared" si="23"/>
        <v>-0.33249041216059144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5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5">
      <c r="A214" s="428">
        <v>23</v>
      </c>
      <c r="B214" s="447" t="s">
        <v>653</v>
      </c>
      <c r="C214" s="448">
        <f>C188+C203</f>
        <v>97960036</v>
      </c>
      <c r="D214" s="448">
        <f>LN_IF1+LN_IF14</f>
        <v>99946166</v>
      </c>
      <c r="E214" s="448">
        <f>D214-C214</f>
        <v>1986130</v>
      </c>
      <c r="F214" s="449">
        <f>IF(C214=0,0,E214/C214)</f>
        <v>2.0274900674801713E-2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5">
      <c r="A215" s="428">
        <v>24</v>
      </c>
      <c r="B215" s="447" t="s">
        <v>654</v>
      </c>
      <c r="C215" s="448">
        <f>C189+C204</f>
        <v>21470152</v>
      </c>
      <c r="D215" s="448">
        <f>LN_IF2+LN_IF15</f>
        <v>22436045</v>
      </c>
      <c r="E215" s="448">
        <f>D215-C215</f>
        <v>965893</v>
      </c>
      <c r="F215" s="449">
        <f>IF(C215=0,0,E215/C215)</f>
        <v>4.4987711311964627E-2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5">
      <c r="A216" s="428">
        <v>25</v>
      </c>
      <c r="B216" s="447" t="s">
        <v>655</v>
      </c>
      <c r="C216" s="448">
        <f>C214-C215</f>
        <v>76489884</v>
      </c>
      <c r="D216" s="448">
        <f>LN_IF23-LN_IF24</f>
        <v>77510121</v>
      </c>
      <c r="E216" s="448">
        <f>D216-C216</f>
        <v>1020237</v>
      </c>
      <c r="F216" s="449">
        <f>IF(C216=0,0,E216/C216)</f>
        <v>1.3338195152708036E-2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5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3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5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5">
      <c r="A221" s="428">
        <v>1</v>
      </c>
      <c r="B221" s="447" t="s">
        <v>637</v>
      </c>
      <c r="C221" s="448">
        <v>201255</v>
      </c>
      <c r="D221" s="448">
        <v>253880</v>
      </c>
      <c r="E221" s="448">
        <f t="shared" ref="E221:E230" si="24">D221-C221</f>
        <v>52625</v>
      </c>
      <c r="F221" s="449">
        <f t="shared" ref="F221:F230" si="25">IF(C221=0,0,E221/C221)</f>
        <v>0.26148418672828005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5">
      <c r="A222" s="451">
        <v>2</v>
      </c>
      <c r="B222" s="447" t="s">
        <v>638</v>
      </c>
      <c r="C222" s="448">
        <v>29548</v>
      </c>
      <c r="D222" s="448">
        <v>86625</v>
      </c>
      <c r="E222" s="448">
        <f t="shared" si="24"/>
        <v>57077</v>
      </c>
      <c r="F222" s="449">
        <f t="shared" si="25"/>
        <v>1.9316705022336538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5">
      <c r="A223" s="451">
        <v>3</v>
      </c>
      <c r="B223" s="452" t="s">
        <v>639</v>
      </c>
      <c r="C223" s="453">
        <f>IF(C221=0,0,C222/C221)</f>
        <v>0.14681871257856949</v>
      </c>
      <c r="D223" s="453">
        <f>IF(LN_IG1=0,0,LN_IG2/LN_IG1)</f>
        <v>0.34120450606585789</v>
      </c>
      <c r="E223" s="454">
        <f t="shared" si="24"/>
        <v>0.19438579348728841</v>
      </c>
      <c r="F223" s="449">
        <f t="shared" si="25"/>
        <v>1.3239851383607766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5">
      <c r="A224" s="451">
        <v>4</v>
      </c>
      <c r="B224" s="447" t="s">
        <v>137</v>
      </c>
      <c r="C224" s="456">
        <v>18</v>
      </c>
      <c r="D224" s="456">
        <v>20</v>
      </c>
      <c r="E224" s="456">
        <f t="shared" si="24"/>
        <v>2</v>
      </c>
      <c r="F224" s="449">
        <f t="shared" si="25"/>
        <v>0.1111111111111111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5">
      <c r="A225" s="451">
        <v>5</v>
      </c>
      <c r="B225" s="452" t="s">
        <v>640</v>
      </c>
      <c r="C225" s="459">
        <v>0.62180000000000002</v>
      </c>
      <c r="D225" s="459">
        <v>1.0768</v>
      </c>
      <c r="E225" s="460">
        <f t="shared" si="24"/>
        <v>0.45499999999999996</v>
      </c>
      <c r="F225" s="449">
        <f t="shared" si="25"/>
        <v>0.73174654229655833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5">
      <c r="A226" s="451">
        <v>6</v>
      </c>
      <c r="B226" s="452" t="s">
        <v>641</v>
      </c>
      <c r="C226" s="463">
        <f>C224*C225</f>
        <v>11.192400000000001</v>
      </c>
      <c r="D226" s="463">
        <f>LN_IG3*LN_IG4</f>
        <v>21.536000000000001</v>
      </c>
      <c r="E226" s="463">
        <f t="shared" si="24"/>
        <v>10.3436</v>
      </c>
      <c r="F226" s="449">
        <f t="shared" si="25"/>
        <v>0.92416282477395373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5">
      <c r="A227" s="451">
        <v>7</v>
      </c>
      <c r="B227" s="447" t="s">
        <v>642</v>
      </c>
      <c r="C227" s="465">
        <f>IF(C226=0,0,C222/C226)</f>
        <v>2640.0057181658981</v>
      </c>
      <c r="D227" s="465">
        <f>IF(LN_IG5=0,0,LN_IG2/LN_IG5)</f>
        <v>4022.3346953937589</v>
      </c>
      <c r="E227" s="465">
        <f t="shared" si="24"/>
        <v>1382.3289772278608</v>
      </c>
      <c r="F227" s="449">
        <f t="shared" si="25"/>
        <v>0.5236083269502203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5">
      <c r="A228" s="451">
        <v>8</v>
      </c>
      <c r="B228" s="447" t="s">
        <v>139</v>
      </c>
      <c r="C228" s="456">
        <v>50</v>
      </c>
      <c r="D228" s="456">
        <v>47</v>
      </c>
      <c r="E228" s="456">
        <f t="shared" si="24"/>
        <v>-3</v>
      </c>
      <c r="F228" s="449">
        <f t="shared" si="25"/>
        <v>-0.06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5">
      <c r="A229" s="451">
        <v>9</v>
      </c>
      <c r="B229" s="447" t="s">
        <v>643</v>
      </c>
      <c r="C229" s="465">
        <f>IF(C228=0,0,C222/C228)</f>
        <v>590.96</v>
      </c>
      <c r="D229" s="465">
        <f>IF(LN_IG6=0,0,LN_IG2/LN_IG6)</f>
        <v>1843.0851063829787</v>
      </c>
      <c r="E229" s="465">
        <f t="shared" si="24"/>
        <v>1252.1251063829786</v>
      </c>
      <c r="F229" s="449">
        <f t="shared" si="25"/>
        <v>2.1187984066315462</v>
      </c>
      <c r="Q229" s="421"/>
      <c r="U229" s="462"/>
    </row>
    <row r="230" spans="1:21" ht="15.75" customHeight="1" x14ac:dyDescent="0.25">
      <c r="A230" s="451">
        <v>10</v>
      </c>
      <c r="B230" s="447" t="s">
        <v>644</v>
      </c>
      <c r="C230" s="466">
        <f>IF(C224=0,0,C228/C224)</f>
        <v>2.7777777777777777</v>
      </c>
      <c r="D230" s="466">
        <f>IF(LN_IG3=0,0,LN_IG6/LN_IG3)</f>
        <v>2.35</v>
      </c>
      <c r="E230" s="466">
        <f t="shared" si="24"/>
        <v>-0.42777777777777759</v>
      </c>
      <c r="F230" s="449">
        <f t="shared" si="25"/>
        <v>-0.15399999999999994</v>
      </c>
      <c r="Q230" s="421"/>
      <c r="U230" s="441"/>
    </row>
    <row r="231" spans="1:21" ht="15.75" customHeight="1" x14ac:dyDescent="0.25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5">
      <c r="A233" s="451">
        <v>11</v>
      </c>
      <c r="B233" s="447" t="s">
        <v>646</v>
      </c>
      <c r="C233" s="448">
        <v>1153587</v>
      </c>
      <c r="D233" s="448">
        <v>484092</v>
      </c>
      <c r="E233" s="448">
        <f>D233-C233</f>
        <v>-669495</v>
      </c>
      <c r="F233" s="449">
        <f>IF(C233=0,0,E233/C233)</f>
        <v>-0.58035934870972017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5">
      <c r="A234" s="451">
        <v>12</v>
      </c>
      <c r="B234" s="447" t="s">
        <v>647</v>
      </c>
      <c r="C234" s="448">
        <v>283322</v>
      </c>
      <c r="D234" s="448">
        <v>39760</v>
      </c>
      <c r="E234" s="448">
        <f>D234-C234</f>
        <v>-243562</v>
      </c>
      <c r="F234" s="449">
        <f>IF(C234=0,0,E234/C234)</f>
        <v>-0.8596649748342875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5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5">
      <c r="A237" s="428">
        <v>13</v>
      </c>
      <c r="B237" s="447" t="s">
        <v>653</v>
      </c>
      <c r="C237" s="448">
        <f>C221+C233</f>
        <v>1354842</v>
      </c>
      <c r="D237" s="448">
        <f>LN_IG1+LN_IG9</f>
        <v>737972</v>
      </c>
      <c r="E237" s="448">
        <f>D237-C237</f>
        <v>-616870</v>
      </c>
      <c r="F237" s="449">
        <f>IF(C237=0,0,E237/C237)</f>
        <v>-0.4553077037765289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5">
      <c r="A238" s="428">
        <v>14</v>
      </c>
      <c r="B238" s="447" t="s">
        <v>654</v>
      </c>
      <c r="C238" s="448">
        <f>C222+C234</f>
        <v>312870</v>
      </c>
      <c r="D238" s="448">
        <f>LN_IG2+LN_IG10</f>
        <v>126385</v>
      </c>
      <c r="E238" s="448">
        <f>D238-C238</f>
        <v>-186485</v>
      </c>
      <c r="F238" s="449">
        <f>IF(C238=0,0,E238/C238)</f>
        <v>-0.59604628120305558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5">
      <c r="A239" s="428">
        <v>15</v>
      </c>
      <c r="B239" s="447" t="s">
        <v>655</v>
      </c>
      <c r="C239" s="448">
        <f>C237-C238</f>
        <v>1041972</v>
      </c>
      <c r="D239" s="448">
        <f>LN_IG13-LN_IG14</f>
        <v>611587</v>
      </c>
      <c r="E239" s="448">
        <f>D239-C239</f>
        <v>-430385</v>
      </c>
      <c r="F239" s="449">
        <f>IF(C239=0,0,E239/C239)</f>
        <v>-0.41304852721570251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5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3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3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5">
      <c r="A243" s="428">
        <v>1</v>
      </c>
      <c r="B243" s="447" t="s">
        <v>709</v>
      </c>
      <c r="C243" s="448">
        <v>3838007</v>
      </c>
      <c r="D243" s="448">
        <v>3643010</v>
      </c>
      <c r="E243" s="441">
        <f>D243-C243</f>
        <v>-194997</v>
      </c>
      <c r="F243" s="503">
        <f>IF(C243=0,0,E243/C243)</f>
        <v>-5.0806838028174518E-2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5">
      <c r="A244" s="428">
        <v>2</v>
      </c>
      <c r="B244" s="447" t="s">
        <v>710</v>
      </c>
      <c r="C244" s="448">
        <v>136633273</v>
      </c>
      <c r="D244" s="448">
        <v>140143704</v>
      </c>
      <c r="E244" s="441">
        <f>D244-C244</f>
        <v>3510431</v>
      </c>
      <c r="F244" s="503">
        <f>IF(C244=0,0,E244/C244)</f>
        <v>2.5692358258884714E-2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5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5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5">
      <c r="A248" s="451">
        <v>4</v>
      </c>
      <c r="B248" s="523" t="s">
        <v>713</v>
      </c>
      <c r="C248" s="441">
        <v>4092111</v>
      </c>
      <c r="D248" s="441">
        <v>4120176</v>
      </c>
      <c r="E248" s="441">
        <f>D248-C248</f>
        <v>28065</v>
      </c>
      <c r="F248" s="449">
        <f>IF(C248=0,0,E248/C248)</f>
        <v>6.8583183593993414E-3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5">
      <c r="A249" s="451">
        <v>5</v>
      </c>
      <c r="B249" s="523" t="s">
        <v>714</v>
      </c>
      <c r="C249" s="441">
        <v>2212274</v>
      </c>
      <c r="D249" s="441">
        <v>2209664</v>
      </c>
      <c r="E249" s="441">
        <f>D249-C249</f>
        <v>-2610</v>
      </c>
      <c r="F249" s="449">
        <f>IF(C249=0,0,E249/C249)</f>
        <v>-1.1797815279662464E-3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5">
      <c r="A250" s="451">
        <v>6</v>
      </c>
      <c r="B250" s="452" t="s">
        <v>715</v>
      </c>
      <c r="C250" s="441">
        <f>C248+C249</f>
        <v>6304385</v>
      </c>
      <c r="D250" s="441">
        <f>LN_IH4+LN_IH5</f>
        <v>6329840</v>
      </c>
      <c r="E250" s="441">
        <f>D250-C250</f>
        <v>25455</v>
      </c>
      <c r="F250" s="449">
        <f>IF(C250=0,0,E250/C250)</f>
        <v>4.0376658468669032E-3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5">
      <c r="A251" s="451">
        <v>7</v>
      </c>
      <c r="B251" s="452" t="s">
        <v>716</v>
      </c>
      <c r="C251" s="441">
        <f>C250*C313</f>
        <v>1921892.2647699951</v>
      </c>
      <c r="D251" s="441">
        <f>LN_IH6*LN_III10</f>
        <v>1868616.1216207179</v>
      </c>
      <c r="E251" s="441">
        <f>D251-C251</f>
        <v>-53276.143149277195</v>
      </c>
      <c r="F251" s="449">
        <f>IF(C251=0,0,E251/C251)</f>
        <v>-2.7720670989668135E-2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5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5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5">
      <c r="A254" s="428">
        <v>8</v>
      </c>
      <c r="B254" s="447" t="s">
        <v>653</v>
      </c>
      <c r="C254" s="441">
        <f>C188+C203</f>
        <v>97960036</v>
      </c>
      <c r="D254" s="441">
        <f>LN_IF23</f>
        <v>99946166</v>
      </c>
      <c r="E254" s="441">
        <f>D254-C254</f>
        <v>1986130</v>
      </c>
      <c r="F254" s="449">
        <f>IF(C254=0,0,E254/C254)</f>
        <v>2.0274900674801713E-2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5">
      <c r="A255" s="428">
        <v>9</v>
      </c>
      <c r="B255" s="447" t="s">
        <v>654</v>
      </c>
      <c r="C255" s="441">
        <f>C189+C204</f>
        <v>21470152</v>
      </c>
      <c r="D255" s="441">
        <f>LN_IF24</f>
        <v>22436045</v>
      </c>
      <c r="E255" s="441">
        <f>D255-C255</f>
        <v>965893</v>
      </c>
      <c r="F255" s="449">
        <f>IF(C255=0,0,E255/C255)</f>
        <v>4.4987711311964627E-2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5">
      <c r="A256" s="428">
        <v>10</v>
      </c>
      <c r="B256" s="447" t="s">
        <v>718</v>
      </c>
      <c r="C256" s="441">
        <f>C254*C313</f>
        <v>29863124.705263123</v>
      </c>
      <c r="D256" s="441">
        <f>LN_IH8*LN_III10</f>
        <v>29504855.901852254</v>
      </c>
      <c r="E256" s="441">
        <f>D256-C256</f>
        <v>-358268.80341086909</v>
      </c>
      <c r="F256" s="449">
        <f>IF(C256=0,0,E256/C256)</f>
        <v>-1.1997030014334945E-2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5">
      <c r="A257" s="428">
        <v>11</v>
      </c>
      <c r="B257" s="452" t="s">
        <v>719</v>
      </c>
      <c r="C257" s="441">
        <f>C256-C255</f>
        <v>8392972.7052631229</v>
      </c>
      <c r="D257" s="441">
        <f>LN_IH10-LN_IH9</f>
        <v>7068810.9018522538</v>
      </c>
      <c r="E257" s="441">
        <f>D257-C257</f>
        <v>-1324161.8034108691</v>
      </c>
      <c r="F257" s="449">
        <f>IF(C257=0,0,E257/C257)</f>
        <v>-0.15777029783267429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3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5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3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5">
      <c r="A261" s="428">
        <v>1</v>
      </c>
      <c r="B261" s="447" t="s">
        <v>465</v>
      </c>
      <c r="C261" s="448">
        <f>C15+C42+C188+C221</f>
        <v>156850034</v>
      </c>
      <c r="D261" s="448">
        <f>LN_IA1+LN_IB1+LN_IF1+LN_IG1</f>
        <v>156659157</v>
      </c>
      <c r="E261" s="448">
        <f t="shared" ref="E261:E274" si="26">D261-C261</f>
        <v>-190877</v>
      </c>
      <c r="F261" s="503">
        <f t="shared" ref="F261:F274" si="27">IF(C261=0,0,E261/C261)</f>
        <v>-1.2169394875617304E-3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5">
      <c r="A262" s="451">
        <v>2</v>
      </c>
      <c r="B262" s="447" t="s">
        <v>466</v>
      </c>
      <c r="C262" s="448">
        <f>C16+C43+C189+C222</f>
        <v>53801703</v>
      </c>
      <c r="D262" s="448">
        <f>+LN_IA2+LN_IB2+LN_IF2+LN_IG2</f>
        <v>52042144</v>
      </c>
      <c r="E262" s="448">
        <f t="shared" si="26"/>
        <v>-1759559</v>
      </c>
      <c r="F262" s="503">
        <f t="shared" si="27"/>
        <v>-3.2704522382869555E-2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5">
      <c r="A263" s="451">
        <v>3</v>
      </c>
      <c r="B263" s="452" t="s">
        <v>722</v>
      </c>
      <c r="C263" s="453">
        <f>IF(C261=0,0,C262/C261)</f>
        <v>0.34301365213602697</v>
      </c>
      <c r="D263" s="453">
        <f>IF(LN_IIA1=0,0,LN_IIA2/LN_IIA1)</f>
        <v>0.33219982155272287</v>
      </c>
      <c r="E263" s="454">
        <f t="shared" si="26"/>
        <v>-1.0813830583304096E-2</v>
      </c>
      <c r="F263" s="458">
        <f t="shared" si="27"/>
        <v>-3.152594806639275E-2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5">
      <c r="A264" s="451">
        <v>4</v>
      </c>
      <c r="B264" s="447" t="s">
        <v>138</v>
      </c>
      <c r="C264" s="456">
        <f>C18+C45+C191+C224</f>
        <v>7071</v>
      </c>
      <c r="D264" s="456">
        <f>LN_IA4+LN_IB4+LN_IF4+LN_IG3</f>
        <v>6709</v>
      </c>
      <c r="E264" s="456">
        <f t="shared" si="26"/>
        <v>-362</v>
      </c>
      <c r="F264" s="503">
        <f t="shared" si="27"/>
        <v>-5.1195021920520438E-2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5">
      <c r="A265" s="451">
        <v>5</v>
      </c>
      <c r="B265" s="447" t="s">
        <v>723</v>
      </c>
      <c r="C265" s="525">
        <f>IF(C264=0,0,C266/C264)</f>
        <v>1.1116689859991515</v>
      </c>
      <c r="D265" s="525">
        <f>IF(LN_IIA4=0,0,LN_IIA6/LN_IIA4)</f>
        <v>1.25713255328663</v>
      </c>
      <c r="E265" s="525">
        <f t="shared" si="26"/>
        <v>0.14546356728747845</v>
      </c>
      <c r="F265" s="503">
        <f t="shared" si="27"/>
        <v>0.1308515116635533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5">
      <c r="A266" s="451">
        <v>6</v>
      </c>
      <c r="B266" s="447" t="s">
        <v>724</v>
      </c>
      <c r="C266" s="463">
        <f>C20+C47+C193+C226</f>
        <v>7860.6113999999998</v>
      </c>
      <c r="D266" s="463">
        <f>LN_IA6+LN_IB6+LN_IF6+LN_IG5</f>
        <v>8434.1023000000005</v>
      </c>
      <c r="E266" s="463">
        <f t="shared" si="26"/>
        <v>573.49090000000069</v>
      </c>
      <c r="F266" s="503">
        <f t="shared" si="27"/>
        <v>7.2957543735084104E-2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5">
      <c r="A267" s="451">
        <v>7</v>
      </c>
      <c r="B267" s="447" t="s">
        <v>467</v>
      </c>
      <c r="C267" s="448">
        <f>C27+C56+C203+C233</f>
        <v>287258616</v>
      </c>
      <c r="D267" s="448">
        <f>LN_IA11+LN_IB13+LN_IF14+LN_IG9</f>
        <v>312730804</v>
      </c>
      <c r="E267" s="448">
        <f t="shared" si="26"/>
        <v>25472188</v>
      </c>
      <c r="F267" s="503">
        <f t="shared" si="27"/>
        <v>8.8673364631123894E-2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5">
      <c r="A268" s="451">
        <v>8</v>
      </c>
      <c r="B268" s="452" t="s">
        <v>649</v>
      </c>
      <c r="C268" s="453">
        <f>IF(C261=0,0,C267/C261)</f>
        <v>1.831422083083514</v>
      </c>
      <c r="D268" s="453">
        <f>IF(LN_IIA1=0,0,LN_IIA7/LN_IIA1)</f>
        <v>1.9962497564058768</v>
      </c>
      <c r="E268" s="454">
        <f t="shared" si="26"/>
        <v>0.16482767332236281</v>
      </c>
      <c r="F268" s="458">
        <f t="shared" si="27"/>
        <v>8.9999828463817086E-2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5">
      <c r="A269" s="451">
        <v>9</v>
      </c>
      <c r="B269" s="447" t="s">
        <v>468</v>
      </c>
      <c r="C269" s="448">
        <f>C28+C57+C204+C234</f>
        <v>79230400</v>
      </c>
      <c r="D269" s="448">
        <f>LN_IA12+LN_IB14+LN_IF15+LN_IG10</f>
        <v>82771710</v>
      </c>
      <c r="E269" s="448">
        <f t="shared" si="26"/>
        <v>3541310</v>
      </c>
      <c r="F269" s="503">
        <f t="shared" si="27"/>
        <v>4.4696353924756155E-2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5">
      <c r="A270" s="451">
        <v>10</v>
      </c>
      <c r="B270" s="452" t="s">
        <v>648</v>
      </c>
      <c r="C270" s="453">
        <f>IF(C267=0,0,C269/C267)</f>
        <v>0.27581557379640093</v>
      </c>
      <c r="D270" s="453">
        <f>IF(LN_IIA7=0,0,LN_IIA9/LN_IIA7)</f>
        <v>0.26467399098938782</v>
      </c>
      <c r="E270" s="454">
        <f t="shared" si="26"/>
        <v>-1.1141582807013106E-2</v>
      </c>
      <c r="F270" s="458">
        <f t="shared" si="27"/>
        <v>-4.0395046057977495E-2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5">
      <c r="A271" s="451">
        <v>11</v>
      </c>
      <c r="B271" s="447" t="s">
        <v>725</v>
      </c>
      <c r="C271" s="441">
        <f>C261+C267</f>
        <v>444108650</v>
      </c>
      <c r="D271" s="441">
        <f>LN_IIA1+LN_IIA7</f>
        <v>469389961</v>
      </c>
      <c r="E271" s="441">
        <f t="shared" si="26"/>
        <v>25281311</v>
      </c>
      <c r="F271" s="503">
        <f t="shared" si="27"/>
        <v>5.6925959447085756E-2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5">
      <c r="A272" s="451">
        <v>12</v>
      </c>
      <c r="B272" s="447" t="s">
        <v>726</v>
      </c>
      <c r="C272" s="441">
        <f>C262+C269</f>
        <v>133032103</v>
      </c>
      <c r="D272" s="441">
        <f>LN_IIA2+LN_IIA9</f>
        <v>134813854</v>
      </c>
      <c r="E272" s="441">
        <f t="shared" si="26"/>
        <v>1781751</v>
      </c>
      <c r="F272" s="503">
        <f t="shared" si="27"/>
        <v>1.3393391217757416E-2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5">
      <c r="A273" s="451">
        <v>13</v>
      </c>
      <c r="B273" s="452" t="s">
        <v>727</v>
      </c>
      <c r="C273" s="453">
        <f>IF(C271=0,0,C272/C271)</f>
        <v>0.29954855191404178</v>
      </c>
      <c r="D273" s="453">
        <f>IF(LN_IIA11=0,0,LN_IIA12/LN_IIA11)</f>
        <v>0.28721077398585437</v>
      </c>
      <c r="E273" s="454">
        <f t="shared" si="26"/>
        <v>-1.233777792818741E-2</v>
      </c>
      <c r="F273" s="458">
        <f t="shared" si="27"/>
        <v>-4.1187907100041159E-2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5">
      <c r="A274" s="451">
        <v>14</v>
      </c>
      <c r="B274" s="447" t="s">
        <v>139</v>
      </c>
      <c r="C274" s="508">
        <f>C22+C51+C198+C228</f>
        <v>28080</v>
      </c>
      <c r="D274" s="508">
        <f>LN_IA8+LN_IB10+LN_IF11+LN_IG6</f>
        <v>25693</v>
      </c>
      <c r="E274" s="528">
        <f t="shared" si="26"/>
        <v>-2387</v>
      </c>
      <c r="F274" s="458">
        <f t="shared" si="27"/>
        <v>-8.5007122507122501E-2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5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3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5">
      <c r="A277" s="428">
        <v>1</v>
      </c>
      <c r="B277" s="447" t="s">
        <v>729</v>
      </c>
      <c r="C277" s="448">
        <f>C15+C188+C221</f>
        <v>122163745</v>
      </c>
      <c r="D277" s="448">
        <f>LN_IA1+LN_IF1+LN_IG1</f>
        <v>118829946</v>
      </c>
      <c r="E277" s="448">
        <f t="shared" ref="E277:E291" si="28">D277-C277</f>
        <v>-3333799</v>
      </c>
      <c r="F277" s="503">
        <f t="shared" ref="F277:F291" si="29">IF(C277=0,0,E277/C277)</f>
        <v>-2.7289593978966509E-2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5">
      <c r="A278" s="451">
        <v>2</v>
      </c>
      <c r="B278" s="447" t="s">
        <v>730</v>
      </c>
      <c r="C278" s="448">
        <f>C16+C189+C222</f>
        <v>35838650</v>
      </c>
      <c r="D278" s="448">
        <f>LN_IA2+LN_IF2+LN_IG2</f>
        <v>33488298</v>
      </c>
      <c r="E278" s="448">
        <f t="shared" si="28"/>
        <v>-2350352</v>
      </c>
      <c r="F278" s="503">
        <f t="shared" si="29"/>
        <v>-6.5581488141991953E-2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5">
      <c r="A279" s="451">
        <v>3</v>
      </c>
      <c r="B279" s="452" t="s">
        <v>731</v>
      </c>
      <c r="C279" s="453">
        <f>IF(C277=0,0,C278/C277)</f>
        <v>0.29336567899093141</v>
      </c>
      <c r="D279" s="453">
        <f>IF(D277=0,0,LN_IIB2/D277)</f>
        <v>0.28181699249446768</v>
      </c>
      <c r="E279" s="454">
        <f t="shared" si="28"/>
        <v>-1.1548686496463734E-2</v>
      </c>
      <c r="F279" s="458">
        <f t="shared" si="29"/>
        <v>-3.9366181266284835E-2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5">
      <c r="A280" s="451">
        <v>4</v>
      </c>
      <c r="B280" s="447" t="s">
        <v>732</v>
      </c>
      <c r="C280" s="456">
        <f>C18+C191+C224</f>
        <v>5238</v>
      </c>
      <c r="D280" s="456">
        <f>LN_IA4+LN_IF4+LN_IG3</f>
        <v>4889</v>
      </c>
      <c r="E280" s="456">
        <f t="shared" si="28"/>
        <v>-349</v>
      </c>
      <c r="F280" s="503">
        <f t="shared" si="29"/>
        <v>-6.6628484154257345E-2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5">
      <c r="A281" s="451">
        <v>5</v>
      </c>
      <c r="B281" s="447" t="s">
        <v>733</v>
      </c>
      <c r="C281" s="525">
        <f>IF(C280=0,0,C282/C280)</f>
        <v>1.1531963344788088</v>
      </c>
      <c r="D281" s="525">
        <f>IF(LN_IIB4=0,0,LN_IIB6/LN_IIB4)</f>
        <v>1.3023003272652893</v>
      </c>
      <c r="E281" s="525">
        <f t="shared" si="28"/>
        <v>0.14910399278648057</v>
      </c>
      <c r="F281" s="503">
        <f t="shared" si="29"/>
        <v>0.12929627707659047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5">
      <c r="A282" s="451">
        <v>6</v>
      </c>
      <c r="B282" s="447" t="s">
        <v>734</v>
      </c>
      <c r="C282" s="463">
        <f>C20+C193+C226</f>
        <v>6040.4423999999999</v>
      </c>
      <c r="D282" s="463">
        <f>LN_IA6+LN_IF6+LN_IG5</f>
        <v>6366.9462999999996</v>
      </c>
      <c r="E282" s="463">
        <f t="shared" si="28"/>
        <v>326.5038999999997</v>
      </c>
      <c r="F282" s="503">
        <f t="shared" si="29"/>
        <v>5.4052977973931132E-2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5">
      <c r="A283" s="451">
        <v>7</v>
      </c>
      <c r="B283" s="447" t="s">
        <v>735</v>
      </c>
      <c r="C283" s="448">
        <f>C27+C203+C233</f>
        <v>182712941</v>
      </c>
      <c r="D283" s="448">
        <f>LN_IA11+LN_IF14+LN_IG9</f>
        <v>199314039</v>
      </c>
      <c r="E283" s="448">
        <f t="shared" si="28"/>
        <v>16601098</v>
      </c>
      <c r="F283" s="503">
        <f t="shared" si="29"/>
        <v>9.0858906375985704E-2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5">
      <c r="A284" s="451">
        <v>8</v>
      </c>
      <c r="B284" s="447" t="s">
        <v>736</v>
      </c>
      <c r="C284" s="453">
        <f>IF(C277=0,0,C283/C277)</f>
        <v>1.4956396515185417</v>
      </c>
      <c r="D284" s="453">
        <f>IF(D277=0,0,LN_IIB7/D277)</f>
        <v>1.6773048016027878</v>
      </c>
      <c r="E284" s="454">
        <f t="shared" si="28"/>
        <v>0.18166515008424611</v>
      </c>
      <c r="F284" s="458">
        <f t="shared" si="29"/>
        <v>0.12146318125478901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5">
      <c r="A285" s="451">
        <v>9</v>
      </c>
      <c r="B285" s="447" t="s">
        <v>737</v>
      </c>
      <c r="C285" s="448">
        <f>C28+C204+C234</f>
        <v>38038964</v>
      </c>
      <c r="D285" s="448">
        <f>LN_IA12+LN_IF15+LN_IG10</f>
        <v>39383476</v>
      </c>
      <c r="E285" s="448">
        <f t="shared" si="28"/>
        <v>1344512</v>
      </c>
      <c r="F285" s="503">
        <f t="shared" si="29"/>
        <v>3.5345652421028079E-2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5">
      <c r="A286" s="451">
        <v>10</v>
      </c>
      <c r="B286" s="447" t="s">
        <v>738</v>
      </c>
      <c r="C286" s="453">
        <f>IF(C283=0,0,C285/C283)</f>
        <v>0.20818976363584449</v>
      </c>
      <c r="D286" s="453">
        <f>IF(LN_IIB7=0,0,LN_IIB9/LN_IIB7)</f>
        <v>0.19759509263670083</v>
      </c>
      <c r="E286" s="454">
        <f t="shared" si="28"/>
        <v>-1.0594670999143657E-2</v>
      </c>
      <c r="F286" s="458">
        <f t="shared" si="29"/>
        <v>-5.0889490501921819E-2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5">
      <c r="A287" s="451">
        <v>11</v>
      </c>
      <c r="B287" s="452" t="s">
        <v>739</v>
      </c>
      <c r="C287" s="441">
        <f>C277+C283</f>
        <v>304876686</v>
      </c>
      <c r="D287" s="441">
        <f>D277+LN_IIB7</f>
        <v>318143985</v>
      </c>
      <c r="E287" s="441">
        <f t="shared" si="28"/>
        <v>13267299</v>
      </c>
      <c r="F287" s="503">
        <f t="shared" si="29"/>
        <v>4.3516935237219154E-2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5">
      <c r="A288" s="451">
        <v>12</v>
      </c>
      <c r="B288" s="452" t="s">
        <v>740</v>
      </c>
      <c r="C288" s="441">
        <f>C278+C285</f>
        <v>73877614</v>
      </c>
      <c r="D288" s="441">
        <f>LN_IIB2+LN_IIB9</f>
        <v>72871774</v>
      </c>
      <c r="E288" s="441">
        <f t="shared" si="28"/>
        <v>-1005840</v>
      </c>
      <c r="F288" s="503">
        <f t="shared" si="29"/>
        <v>-1.3614949719410267E-2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5">
      <c r="A289" s="451">
        <v>13</v>
      </c>
      <c r="B289" s="452" t="s">
        <v>741</v>
      </c>
      <c r="C289" s="453">
        <f>IF(C287=0,0,C288/C287)</f>
        <v>0.24231965706948153</v>
      </c>
      <c r="D289" s="453">
        <f>IF(LN_IIB11=0,0,LN_IIB12/LN_IIB11)</f>
        <v>0.22905281078942918</v>
      </c>
      <c r="E289" s="454">
        <f t="shared" si="28"/>
        <v>-1.3266846280052341E-2</v>
      </c>
      <c r="F289" s="458">
        <f t="shared" si="29"/>
        <v>-5.4749360578074245E-2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5">
      <c r="A290" s="428">
        <v>14</v>
      </c>
      <c r="B290" s="447" t="s">
        <v>139</v>
      </c>
      <c r="C290" s="508">
        <f>C22+C198+C228</f>
        <v>22054</v>
      </c>
      <c r="D290" s="508">
        <f>LN_IA8+LN_IF11+LN_IG6</f>
        <v>20188</v>
      </c>
      <c r="E290" s="528">
        <f t="shared" si="28"/>
        <v>-1866</v>
      </c>
      <c r="F290" s="458">
        <f t="shared" si="29"/>
        <v>-8.4610501496327192E-2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5">
      <c r="A291" s="428">
        <v>15</v>
      </c>
      <c r="B291" s="445" t="s">
        <v>742</v>
      </c>
      <c r="C291" s="448">
        <f>C287-C288</f>
        <v>230999072</v>
      </c>
      <c r="D291" s="516">
        <f>LN_IIB11-LN_IIB12</f>
        <v>245272211</v>
      </c>
      <c r="E291" s="441">
        <f t="shared" si="28"/>
        <v>14273139</v>
      </c>
      <c r="F291" s="503">
        <f t="shared" si="29"/>
        <v>6.1788728744330196E-2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5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3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5">
      <c r="A294" s="428">
        <v>1</v>
      </c>
      <c r="B294" s="452" t="s">
        <v>635</v>
      </c>
      <c r="C294" s="466">
        <f>IF(C18=0,0,C22/C18)</f>
        <v>4.3991124260355026</v>
      </c>
      <c r="D294" s="466">
        <f>IF(LN_IA4=0,0,LN_IA8/LN_IA4)</f>
        <v>4.3329097839898347</v>
      </c>
      <c r="E294" s="466">
        <f t="shared" ref="E294:E300" si="30">D294-C294</f>
        <v>-6.6202642045667837E-2</v>
      </c>
      <c r="F294" s="503">
        <f t="shared" ref="F294:F300" si="31">IF(C294=0,0,E294/C294)</f>
        <v>-1.5049090733361848E-2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5">
      <c r="A295" s="451">
        <v>2</v>
      </c>
      <c r="B295" s="452" t="s">
        <v>656</v>
      </c>
      <c r="C295" s="466">
        <f>IF(C45=0,0,C51/C45)</f>
        <v>3.2875068194217132</v>
      </c>
      <c r="D295" s="466">
        <f>IF(LN_IB4=0,0,(LN_IB10)/(LN_IB4))</f>
        <v>3.0247252747252746</v>
      </c>
      <c r="E295" s="466">
        <f t="shared" si="30"/>
        <v>-0.26278154469643855</v>
      </c>
      <c r="F295" s="503">
        <f t="shared" si="31"/>
        <v>-7.9933383907828046E-2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5">
      <c r="A296" s="451">
        <v>3</v>
      </c>
      <c r="B296" s="452" t="s">
        <v>671</v>
      </c>
      <c r="C296" s="466">
        <f>IF(C86=0,0,C93/C86)</f>
        <v>3.5294117647058822</v>
      </c>
      <c r="D296" s="466">
        <f>IF(LN_IC4=0,0,LN_IC11/LN_IC4)</f>
        <v>3.25</v>
      </c>
      <c r="E296" s="466">
        <f t="shared" si="30"/>
        <v>-0.27941176470588225</v>
      </c>
      <c r="F296" s="503">
        <f t="shared" si="31"/>
        <v>-7.9166666666666635E-2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5">
      <c r="A297" s="451">
        <v>4</v>
      </c>
      <c r="B297" s="452" t="s">
        <v>115</v>
      </c>
      <c r="C297" s="466">
        <f>IF(C121=0,0,C128/C121)</f>
        <v>3.8777173913043477</v>
      </c>
      <c r="D297" s="466">
        <f>IF(LN_ID4=0,0,LN_ID11/LN_ID4)</f>
        <v>3.7774549680418361</v>
      </c>
      <c r="E297" s="466">
        <f t="shared" si="30"/>
        <v>-0.10026242326251156</v>
      </c>
      <c r="F297" s="503">
        <f t="shared" si="31"/>
        <v>-2.5856041878489316E-2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5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5">
      <c r="A299" s="451">
        <v>6</v>
      </c>
      <c r="B299" s="447" t="s">
        <v>424</v>
      </c>
      <c r="C299" s="466">
        <f>IF(C224=0,0,C228/C224)</f>
        <v>2.7777777777777777</v>
      </c>
      <c r="D299" s="466">
        <f>IF(LN_IG3=0,0,LN_IG6/LN_IG3)</f>
        <v>2.35</v>
      </c>
      <c r="E299" s="466">
        <f t="shared" si="30"/>
        <v>-0.42777777777777759</v>
      </c>
      <c r="F299" s="503">
        <f t="shared" si="31"/>
        <v>-0.15399999999999994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5">
      <c r="A300" s="451">
        <v>7</v>
      </c>
      <c r="B300" s="452" t="s">
        <v>744</v>
      </c>
      <c r="C300" s="466">
        <f>IF(C264=0,0,C274/C264)</f>
        <v>3.9711497666525246</v>
      </c>
      <c r="D300" s="466">
        <f>IF(LN_IIA4=0,0,LN_IIA14/LN_IIA4)</f>
        <v>3.8296318378297807</v>
      </c>
      <c r="E300" s="466">
        <f t="shared" si="30"/>
        <v>-0.14151792882274394</v>
      </c>
      <c r="F300" s="503">
        <f t="shared" si="31"/>
        <v>-3.5636512631966606E-2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5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3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3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5">
      <c r="A304" s="428">
        <v>1</v>
      </c>
      <c r="B304" s="452" t="s">
        <v>739</v>
      </c>
      <c r="C304" s="441">
        <f>C35+C66+C214+C221+C233</f>
        <v>444108650</v>
      </c>
      <c r="D304" s="441">
        <f>LN_IIA11</f>
        <v>469389961</v>
      </c>
      <c r="E304" s="441">
        <f t="shared" ref="E304:E316" si="32">D304-C304</f>
        <v>25281311</v>
      </c>
      <c r="F304" s="449">
        <f>IF(C304=0,0,E304/C304)</f>
        <v>5.6925959447085756E-2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5">
      <c r="A305" s="451">
        <v>2</v>
      </c>
      <c r="B305" s="445" t="s">
        <v>742</v>
      </c>
      <c r="C305" s="441">
        <f>C291</f>
        <v>230999072</v>
      </c>
      <c r="D305" s="441">
        <f>LN_IIB14</f>
        <v>245272211</v>
      </c>
      <c r="E305" s="441">
        <f t="shared" si="32"/>
        <v>14273139</v>
      </c>
      <c r="F305" s="449">
        <f>IF(C305=0,0,E305/C305)</f>
        <v>6.1788728744330196E-2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5">
      <c r="A306" s="451">
        <v>3</v>
      </c>
      <c r="B306" s="447" t="s">
        <v>746</v>
      </c>
      <c r="C306" s="441">
        <f>C250</f>
        <v>6304385</v>
      </c>
      <c r="D306" s="441">
        <f>LN_IH6</f>
        <v>6329840</v>
      </c>
      <c r="E306" s="441">
        <f t="shared" si="32"/>
        <v>25455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5">
      <c r="A307" s="451">
        <v>4</v>
      </c>
      <c r="B307" s="447" t="s">
        <v>747</v>
      </c>
      <c r="C307" s="441">
        <f>C73-C74</f>
        <v>63377870</v>
      </c>
      <c r="D307" s="441">
        <f>LN_IB32-LN_IB33</f>
        <v>73406237</v>
      </c>
      <c r="E307" s="441">
        <f t="shared" si="32"/>
        <v>10028367</v>
      </c>
      <c r="F307" s="449">
        <f t="shared" ref="F307:F316" si="33">IF(C307=0,0,E307/C307)</f>
        <v>0.15823136687932238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5">
      <c r="A308" s="451">
        <v>5</v>
      </c>
      <c r="B308" s="447" t="s">
        <v>748</v>
      </c>
      <c r="C308" s="441">
        <v>8040766</v>
      </c>
      <c r="D308" s="441">
        <v>5814245</v>
      </c>
      <c r="E308" s="441">
        <f t="shared" si="32"/>
        <v>-2226521</v>
      </c>
      <c r="F308" s="449">
        <f t="shared" si="33"/>
        <v>-0.27690409097839686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5">
      <c r="A309" s="451">
        <v>6</v>
      </c>
      <c r="B309" s="445" t="s">
        <v>749</v>
      </c>
      <c r="C309" s="441">
        <f>C305+C307+C308+C306</f>
        <v>308722093</v>
      </c>
      <c r="D309" s="441">
        <f>LN_III2+LN_III3+LN_III4+LN_III5</f>
        <v>330822533</v>
      </c>
      <c r="E309" s="441">
        <f t="shared" si="32"/>
        <v>22100440</v>
      </c>
      <c r="F309" s="449">
        <f t="shared" si="33"/>
        <v>7.1586842992801297E-2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5">
      <c r="A310" s="451">
        <v>7</v>
      </c>
      <c r="B310" s="445" t="s">
        <v>750</v>
      </c>
      <c r="C310" s="441">
        <f>C304-C309</f>
        <v>135386557</v>
      </c>
      <c r="D310" s="441">
        <f>LN_III1-LN_III6</f>
        <v>138567428</v>
      </c>
      <c r="E310" s="441">
        <f t="shared" si="32"/>
        <v>3180871</v>
      </c>
      <c r="F310" s="449">
        <f t="shared" si="33"/>
        <v>2.3494732937185188E-2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5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5">
      <c r="A312" s="451">
        <v>9</v>
      </c>
      <c r="B312" s="452" t="s">
        <v>752</v>
      </c>
      <c r="C312" s="441">
        <f>C310+C311</f>
        <v>135386557</v>
      </c>
      <c r="D312" s="441">
        <f>LN_III7+LN_III8</f>
        <v>138567428</v>
      </c>
      <c r="E312" s="441">
        <f t="shared" si="32"/>
        <v>3180871</v>
      </c>
      <c r="F312" s="449">
        <f t="shared" si="33"/>
        <v>2.3494732937185188E-2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5">
      <c r="A313" s="451">
        <v>10</v>
      </c>
      <c r="B313" s="447" t="s">
        <v>753</v>
      </c>
      <c r="C313" s="532">
        <f>IF(C304=0,0,C312/C304)</f>
        <v>0.3048500789164994</v>
      </c>
      <c r="D313" s="532">
        <f>IF(LN_III1=0,0,LN_III9/LN_III1)</f>
        <v>0.29520748101385152</v>
      </c>
      <c r="E313" s="532">
        <f t="shared" si="32"/>
        <v>-9.6425979026478759E-3</v>
      </c>
      <c r="F313" s="449">
        <f t="shared" si="33"/>
        <v>-3.1630622950532518E-2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5">
      <c r="A314" s="428">
        <v>11</v>
      </c>
      <c r="B314" s="447" t="s">
        <v>716</v>
      </c>
      <c r="C314" s="441">
        <f>C306*C313</f>
        <v>1921892.2647699951</v>
      </c>
      <c r="D314" s="441">
        <f>D313*LN_III5</f>
        <v>1868616.1216207179</v>
      </c>
      <c r="E314" s="441">
        <f t="shared" si="32"/>
        <v>-53276.143149277195</v>
      </c>
      <c r="F314" s="449">
        <f t="shared" si="33"/>
        <v>-2.7720670989668135E-2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5">
      <c r="A315" s="428">
        <v>12</v>
      </c>
      <c r="B315" s="452" t="s">
        <v>719</v>
      </c>
      <c r="C315" s="441">
        <f>(C214*C313)-C215</f>
        <v>8392972.7052631229</v>
      </c>
      <c r="D315" s="441">
        <f>D313*LN_IH8-LN_IH9</f>
        <v>7068810.9018522538</v>
      </c>
      <c r="E315" s="441">
        <f t="shared" si="32"/>
        <v>-1324161.8034108691</v>
      </c>
      <c r="F315" s="449">
        <f t="shared" si="33"/>
        <v>-0.15777029783267429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5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3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5">
      <c r="A318" s="428"/>
      <c r="B318" s="447" t="s">
        <v>756</v>
      </c>
      <c r="C318" s="441">
        <f>C314+C315+C316</f>
        <v>10314864.970033119</v>
      </c>
      <c r="D318" s="441">
        <f>D314+D315+D316</f>
        <v>8937427.0234729722</v>
      </c>
      <c r="E318" s="441">
        <f>D318-C318</f>
        <v>-1377437.9465601463</v>
      </c>
      <c r="F318" s="449">
        <f>IF(C318=0,0,E318/C318)</f>
        <v>-0.13353911569001603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5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3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3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5">
      <c r="A322" s="451">
        <v>1</v>
      </c>
      <c r="B322" s="445" t="s">
        <v>115</v>
      </c>
      <c r="C322" s="441">
        <f>C141</f>
        <v>5905729.4513563858</v>
      </c>
      <c r="D322" s="441">
        <f>LN_ID22</f>
        <v>3942131.0319659575</v>
      </c>
      <c r="E322" s="441">
        <f>LN_IV2-C322</f>
        <v>-1963598.4193904283</v>
      </c>
      <c r="F322" s="449">
        <f>IF(C322=0,0,E322/C322)</f>
        <v>-0.33249041216059144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5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5">
      <c r="A324" s="428">
        <v>3</v>
      </c>
      <c r="B324" s="538" t="s">
        <v>758</v>
      </c>
      <c r="C324" s="441">
        <f>C92+C106</f>
        <v>2714646.9392229524</v>
      </c>
      <c r="D324" s="441">
        <f>LN_IC10+LN_IC22</f>
        <v>1980803.9950002413</v>
      </c>
      <c r="E324" s="441">
        <f>LN_IV1-C324</f>
        <v>-733842.94422271103</v>
      </c>
      <c r="F324" s="449">
        <f>IF(C324=0,0,E324/C324)</f>
        <v>-0.27032721405486643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5">
      <c r="A325" s="451">
        <v>4</v>
      </c>
      <c r="B325" s="539" t="s">
        <v>759</v>
      </c>
      <c r="C325" s="516">
        <f>C324+C322+C323</f>
        <v>8620376.3905793391</v>
      </c>
      <c r="D325" s="516">
        <f>LN_IV1+LN_IV2+LN_IV3</f>
        <v>5922935.0269661993</v>
      </c>
      <c r="E325" s="441">
        <f>LN_IV4-C325</f>
        <v>-2697441.3636131398</v>
      </c>
      <c r="F325" s="449">
        <f>IF(C325=0,0,E325/C325)</f>
        <v>-0.31291456908552184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3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3">
      <c r="A327" s="419" t="s">
        <v>760</v>
      </c>
      <c r="B327" s="530" t="s">
        <v>761</v>
      </c>
      <c r="F327" s="427"/>
    </row>
    <row r="328" spans="1:22" s="420" customFormat="1" ht="15.75" customHeight="1" x14ac:dyDescent="0.3">
      <c r="A328" s="436"/>
      <c r="B328" s="470"/>
      <c r="F328" s="427"/>
    </row>
    <row r="329" spans="1:22" s="420" customFormat="1" ht="15.75" customHeight="1" x14ac:dyDescent="0.25">
      <c r="A329" s="451">
        <v>1</v>
      </c>
      <c r="B329" s="447" t="s">
        <v>762</v>
      </c>
      <c r="C329" s="518">
        <v>9490766</v>
      </c>
      <c r="D329" s="518">
        <v>7264245</v>
      </c>
      <c r="E329" s="518">
        <f t="shared" ref="E329:E335" si="34">D329-C329</f>
        <v>-2226521</v>
      </c>
      <c r="F329" s="542">
        <f t="shared" ref="F329:F335" si="35">IF(C329=0,0,E329/C329)</f>
        <v>-0.2345986614779039</v>
      </c>
    </row>
    <row r="330" spans="1:22" s="420" customFormat="1" ht="15.75" customHeight="1" x14ac:dyDescent="0.25">
      <c r="A330" s="451">
        <v>2</v>
      </c>
      <c r="B330" s="447" t="s">
        <v>763</v>
      </c>
      <c r="C330" s="516">
        <v>295799</v>
      </c>
      <c r="D330" s="516">
        <v>-1269052</v>
      </c>
      <c r="E330" s="518">
        <f t="shared" si="34"/>
        <v>-1564851</v>
      </c>
      <c r="F330" s="543">
        <f t="shared" si="35"/>
        <v>-5.2902511502743419</v>
      </c>
    </row>
    <row r="331" spans="1:22" s="420" customFormat="1" ht="15.75" customHeight="1" x14ac:dyDescent="0.25">
      <c r="A331" s="427">
        <v>3</v>
      </c>
      <c r="B331" s="447" t="s">
        <v>764</v>
      </c>
      <c r="C331" s="516">
        <v>133327930</v>
      </c>
      <c r="D331" s="516">
        <v>133544821</v>
      </c>
      <c r="E331" s="518">
        <f t="shared" si="34"/>
        <v>216891</v>
      </c>
      <c r="F331" s="542">
        <f t="shared" si="35"/>
        <v>1.6267484239798817E-3</v>
      </c>
    </row>
    <row r="332" spans="1:22" s="420" customFormat="1" ht="27" customHeight="1" x14ac:dyDescent="0.25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5">
      <c r="A333" s="451">
        <v>5</v>
      </c>
      <c r="B333" s="447" t="s">
        <v>766</v>
      </c>
      <c r="C333" s="516">
        <v>444108678</v>
      </c>
      <c r="D333" s="516">
        <v>469389980</v>
      </c>
      <c r="E333" s="518">
        <f t="shared" si="34"/>
        <v>25281302</v>
      </c>
      <c r="F333" s="542">
        <f t="shared" si="35"/>
        <v>5.6925935592728946E-2</v>
      </c>
    </row>
    <row r="334" spans="1:22" s="420" customFormat="1" ht="15.75" customHeight="1" x14ac:dyDescent="0.25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5">
      <c r="A335" s="451">
        <v>7</v>
      </c>
      <c r="B335" s="447" t="s">
        <v>768</v>
      </c>
      <c r="C335" s="516">
        <v>6304385</v>
      </c>
      <c r="D335" s="516">
        <v>6329840</v>
      </c>
      <c r="E335" s="516">
        <f t="shared" si="34"/>
        <v>25455</v>
      </c>
      <c r="F335" s="542">
        <f t="shared" si="35"/>
        <v>4.0376658468669032E-3</v>
      </c>
    </row>
    <row r="336" spans="1:22" s="420" customFormat="1" ht="15.75" customHeight="1" x14ac:dyDescent="0.25">
      <c r="A336" s="544"/>
      <c r="B336" s="445"/>
      <c r="C336" s="438"/>
      <c r="F336" s="427"/>
    </row>
    <row r="337" spans="1:17" ht="15.75" customHeight="1" x14ac:dyDescent="0.25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5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5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5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5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5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5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5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5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5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5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5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5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5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5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5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5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5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5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5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5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5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5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3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5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5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5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5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5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5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5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3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5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5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5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5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3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5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5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5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5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5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5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5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5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3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5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3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5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5">
      <c r="B386" s="447"/>
      <c r="C386" s="538"/>
      <c r="D386" s="448"/>
      <c r="E386" s="448"/>
      <c r="F386" s="448"/>
    </row>
    <row r="387" spans="2:17" ht="15.75" customHeight="1" x14ac:dyDescent="0.25">
      <c r="B387" s="447"/>
      <c r="C387" s="541"/>
      <c r="D387" s="458"/>
      <c r="E387" s="458"/>
      <c r="F387" s="458"/>
    </row>
    <row r="388" spans="2:17" ht="15.75" customHeight="1" x14ac:dyDescent="0.25">
      <c r="B388" s="447"/>
      <c r="C388" s="553"/>
      <c r="D388" s="456"/>
      <c r="E388" s="456"/>
      <c r="F388" s="456"/>
    </row>
    <row r="389" spans="2:17" ht="15.75" customHeight="1" x14ac:dyDescent="0.25">
      <c r="B389" s="447"/>
      <c r="C389" s="550"/>
      <c r="D389" s="551"/>
      <c r="E389" s="551"/>
      <c r="F389" s="551"/>
    </row>
    <row r="390" spans="2:17" ht="15.75" customHeight="1" x14ac:dyDescent="0.25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5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5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5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5">
      <c r="B394" s="447"/>
      <c r="C394" s="553"/>
      <c r="D394" s="456"/>
      <c r="E394" s="456"/>
      <c r="F394" s="456"/>
    </row>
    <row r="395" spans="2:17" ht="15.75" customHeight="1" x14ac:dyDescent="0.25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5">
      <c r="B396" s="447"/>
      <c r="C396" s="565"/>
      <c r="D396" s="566"/>
      <c r="E396" s="566"/>
      <c r="F396" s="456"/>
      <c r="Q396" s="488"/>
    </row>
    <row r="397" spans="2:17" ht="15.75" customHeight="1" x14ac:dyDescent="0.25">
      <c r="B397" s="447"/>
      <c r="C397" s="538"/>
      <c r="D397" s="448"/>
      <c r="E397" s="448"/>
      <c r="F397" s="448"/>
    </row>
    <row r="398" spans="2:17" ht="15.75" customHeight="1" x14ac:dyDescent="0.3">
      <c r="B398" s="495"/>
      <c r="C398" s="557"/>
      <c r="D398" s="448"/>
      <c r="E398" s="448"/>
      <c r="F398" s="448"/>
    </row>
    <row r="399" spans="2:17" ht="15.75" customHeight="1" x14ac:dyDescent="0.25">
      <c r="B399" s="447"/>
      <c r="C399" s="538"/>
      <c r="D399" s="448"/>
      <c r="E399" s="448"/>
      <c r="F399" s="448"/>
    </row>
    <row r="400" spans="2:17" ht="15.75" customHeight="1" x14ac:dyDescent="0.25">
      <c r="B400" s="447"/>
      <c r="C400" s="538"/>
      <c r="D400" s="448"/>
      <c r="E400" s="448"/>
      <c r="F400" s="448"/>
    </row>
    <row r="401" spans="2:6" ht="15.75" customHeight="1" x14ac:dyDescent="0.25">
      <c r="B401" s="447"/>
      <c r="C401" s="567"/>
      <c r="D401" s="483"/>
      <c r="E401" s="483"/>
      <c r="F401" s="483"/>
    </row>
    <row r="402" spans="2:6" ht="15.75" customHeight="1" x14ac:dyDescent="0.25">
      <c r="B402" s="447"/>
      <c r="C402" s="541"/>
      <c r="D402" s="503"/>
      <c r="E402" s="503"/>
      <c r="F402" s="503"/>
    </row>
    <row r="403" spans="2:6" ht="15.75" customHeight="1" x14ac:dyDescent="0.25">
      <c r="B403" s="447"/>
      <c r="C403" s="565"/>
      <c r="D403" s="566"/>
      <c r="E403" s="566"/>
      <c r="F403" s="566"/>
    </row>
    <row r="404" spans="2:6" ht="15.75" customHeight="1" x14ac:dyDescent="0.25">
      <c r="B404" s="447"/>
      <c r="C404" s="538"/>
      <c r="D404" s="448"/>
      <c r="E404" s="448"/>
      <c r="F404" s="448"/>
    </row>
    <row r="405" spans="2:6" ht="15.75" customHeight="1" x14ac:dyDescent="0.25">
      <c r="B405" s="447"/>
      <c r="C405" s="538"/>
      <c r="D405" s="448"/>
      <c r="E405" s="448"/>
      <c r="F405" s="448"/>
    </row>
    <row r="406" spans="2:6" ht="15.75" customHeight="1" x14ac:dyDescent="0.25">
      <c r="B406" s="447"/>
      <c r="C406" s="538"/>
      <c r="D406" s="448"/>
      <c r="E406" s="448"/>
      <c r="F406" s="448"/>
    </row>
    <row r="407" spans="2:6" ht="15.75" customHeight="1" x14ac:dyDescent="0.25">
      <c r="B407" s="447"/>
      <c r="C407" s="538"/>
      <c r="D407" s="448"/>
      <c r="E407" s="448"/>
      <c r="F407" s="448"/>
    </row>
    <row r="408" spans="2:6" ht="15.75" customHeight="1" x14ac:dyDescent="0.3">
      <c r="B408" s="495"/>
      <c r="C408" s="538"/>
      <c r="D408" s="448"/>
      <c r="E408" s="448"/>
      <c r="F408" s="448"/>
    </row>
    <row r="409" spans="2:6" ht="15.75" customHeight="1" x14ac:dyDescent="0.25">
      <c r="B409" s="447"/>
      <c r="C409" s="538"/>
      <c r="D409" s="448"/>
      <c r="E409" s="448"/>
      <c r="F409" s="448"/>
    </row>
    <row r="410" spans="2:6" ht="15.75" customHeight="1" x14ac:dyDescent="0.25">
      <c r="B410" s="447"/>
      <c r="C410" s="538"/>
      <c r="D410" s="448"/>
      <c r="E410" s="448"/>
      <c r="F410" s="448"/>
    </row>
    <row r="411" spans="2:6" ht="15.75" customHeight="1" x14ac:dyDescent="0.25">
      <c r="B411" s="447"/>
      <c r="C411" s="538"/>
      <c r="D411" s="448"/>
      <c r="E411" s="448"/>
      <c r="F411" s="448"/>
    </row>
    <row r="412" spans="2:6" ht="15.75" customHeight="1" x14ac:dyDescent="0.25">
      <c r="B412" s="447"/>
      <c r="C412" s="538"/>
      <c r="D412" s="448"/>
      <c r="E412" s="448"/>
      <c r="F412" s="448"/>
    </row>
    <row r="413" spans="2:6" ht="15.75" customHeight="1" x14ac:dyDescent="0.3">
      <c r="B413" s="495"/>
      <c r="C413" s="445"/>
      <c r="D413" s="420"/>
      <c r="E413" s="420"/>
      <c r="F413" s="420"/>
    </row>
    <row r="414" spans="2:6" ht="15.75" customHeight="1" x14ac:dyDescent="0.25">
      <c r="B414" s="447"/>
      <c r="C414" s="561"/>
      <c r="D414" s="474"/>
      <c r="E414" s="474"/>
      <c r="F414" s="474"/>
    </row>
    <row r="415" spans="2:6" ht="15.75" customHeight="1" x14ac:dyDescent="0.25">
      <c r="B415" s="447"/>
      <c r="C415" s="561"/>
      <c r="D415" s="474"/>
      <c r="E415" s="474"/>
      <c r="F415" s="474"/>
    </row>
    <row r="416" spans="2:6" ht="15.75" customHeight="1" x14ac:dyDescent="0.25">
      <c r="B416" s="447"/>
      <c r="C416" s="561"/>
      <c r="D416" s="474"/>
      <c r="E416" s="474"/>
      <c r="F416" s="474"/>
    </row>
    <row r="417" spans="2:17" ht="15.75" customHeight="1" x14ac:dyDescent="0.25">
      <c r="B417" s="447"/>
      <c r="C417" s="561"/>
      <c r="D417" s="474"/>
      <c r="E417" s="474"/>
      <c r="F417" s="474"/>
    </row>
    <row r="418" spans="2:17" ht="15.75" customHeight="1" x14ac:dyDescent="0.25">
      <c r="B418" s="447"/>
      <c r="C418" s="561"/>
      <c r="D418" s="474"/>
      <c r="E418" s="474"/>
      <c r="F418" s="474"/>
    </row>
    <row r="419" spans="2:17" ht="15.75" customHeight="1" x14ac:dyDescent="0.25">
      <c r="B419" s="447"/>
      <c r="C419" s="561"/>
      <c r="D419" s="474"/>
      <c r="E419" s="474"/>
      <c r="F419" s="474"/>
    </row>
    <row r="420" spans="2:17" ht="15.75" customHeight="1" x14ac:dyDescent="0.25">
      <c r="B420" s="447"/>
      <c r="C420" s="561"/>
      <c r="D420" s="474"/>
      <c r="E420" s="474"/>
      <c r="F420" s="474"/>
    </row>
    <row r="421" spans="2:17" ht="15.75" customHeight="1" x14ac:dyDescent="0.25">
      <c r="B421" s="447"/>
      <c r="C421" s="538"/>
      <c r="D421" s="441"/>
      <c r="E421" s="441"/>
      <c r="F421" s="448"/>
    </row>
    <row r="422" spans="2:17" ht="15.75" customHeight="1" x14ac:dyDescent="0.25">
      <c r="B422" s="447"/>
      <c r="C422" s="538"/>
      <c r="D422" s="441"/>
      <c r="E422" s="441"/>
      <c r="F422" s="448"/>
    </row>
    <row r="423" spans="2:17" ht="15.75" customHeight="1" x14ac:dyDescent="0.3">
      <c r="B423" s="495"/>
      <c r="C423" s="561"/>
      <c r="D423" s="474"/>
      <c r="E423" s="474"/>
      <c r="F423" s="474"/>
    </row>
    <row r="424" spans="2:17" ht="15.75" customHeight="1" x14ac:dyDescent="0.3">
      <c r="B424" s="495"/>
      <c r="C424" s="561"/>
      <c r="D424" s="474"/>
      <c r="E424" s="474"/>
      <c r="F424" s="474"/>
    </row>
    <row r="425" spans="2:17" ht="15.75" customHeight="1" x14ac:dyDescent="0.3">
      <c r="B425" s="495"/>
      <c r="C425" s="447"/>
      <c r="D425" s="496"/>
      <c r="E425" s="496"/>
      <c r="F425" s="496"/>
    </row>
    <row r="426" spans="2:17" ht="15.75" customHeight="1" x14ac:dyDescent="0.25">
      <c r="B426" s="447"/>
      <c r="C426" s="538"/>
      <c r="D426" s="448"/>
      <c r="E426" s="448"/>
      <c r="F426" s="448"/>
    </row>
    <row r="427" spans="2:17" ht="15.75" customHeight="1" x14ac:dyDescent="0.25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5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5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5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5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5">
      <c r="B432" s="447"/>
      <c r="C432" s="538"/>
      <c r="D432" s="448"/>
      <c r="E432" s="448"/>
      <c r="F432" s="448"/>
    </row>
    <row r="433" spans="1:17" ht="15.75" customHeight="1" x14ac:dyDescent="0.25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5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5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5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5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5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5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5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5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5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5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5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5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5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5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5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5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5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5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5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5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5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5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5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5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5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5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5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5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5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5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5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5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5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5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5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5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5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5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5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5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5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5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5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5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5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5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5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5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5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5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5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5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5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5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5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5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5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5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5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5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5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5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5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5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5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5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5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5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5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5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5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5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5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5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5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5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5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5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5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5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5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5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5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5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5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5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5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5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5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5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5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5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5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5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5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5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5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5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5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5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5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5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5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5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5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5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5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5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5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5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5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5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5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5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5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5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5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5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5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5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5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5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5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5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5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5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5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5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5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5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5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5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5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5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5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5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5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5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5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5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5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5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5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5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5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5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5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5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5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5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5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5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5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5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5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5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5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5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5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5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5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5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5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5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5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5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5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5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5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5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5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5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5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5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5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5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5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5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5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5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5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5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5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5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5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5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5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5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5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5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5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5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5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5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5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5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5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5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5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5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5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5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5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5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5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5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5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5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5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5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5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5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5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5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5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5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5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5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5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5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5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5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5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5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5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5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5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5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5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5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5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5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5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5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5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5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5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5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5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5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5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5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5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5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5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5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5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5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5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5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5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5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5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5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5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5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5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5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5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5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5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5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5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5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5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5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5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5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5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5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5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5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5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5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5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5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5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5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5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5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5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5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5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5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5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5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5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5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5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5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5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5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5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5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5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5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5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5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5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5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5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5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5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5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5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5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5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5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5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5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5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5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5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5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5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5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5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5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5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5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5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5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5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5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5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5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5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5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5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5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5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5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5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5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5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5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5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5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5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5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5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5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5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5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5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5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5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5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5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5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5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5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5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5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5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5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5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5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5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5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5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5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5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5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5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5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5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5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5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5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5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5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5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5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5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5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5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5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5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5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5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5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5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5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5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5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5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5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5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5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5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5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5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5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5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5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5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5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5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5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5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5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5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5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5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5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5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5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5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5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5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5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5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5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5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5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5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5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5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5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5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5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5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5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5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5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5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5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5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5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5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5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5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5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5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5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5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5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5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5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5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5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5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5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5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5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5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5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5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5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5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5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5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5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5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5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5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5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5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5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5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5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5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5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5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5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5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5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5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5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5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5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5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5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5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5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5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5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5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5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5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5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5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5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5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5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5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5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5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5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5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5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5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5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5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5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5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5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5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5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5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5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5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5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5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5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5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5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5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5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5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5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5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5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5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5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5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5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5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5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5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5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5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5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5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5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5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5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5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5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5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5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5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5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5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5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5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5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5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5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5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5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5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5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5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5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5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5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5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5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5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5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5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5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5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5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5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5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5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5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5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5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5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5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5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5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5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5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5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5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5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5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5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5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5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5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5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5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5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5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5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5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5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5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5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5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5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5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5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5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5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5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5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5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5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5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5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5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5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5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5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5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5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5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5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5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5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5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5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5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5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5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5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5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5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5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5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5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5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5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5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5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5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5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5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5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5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5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5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5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5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5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5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5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5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5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5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5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5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1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sqref="A1:F1"/>
    </sheetView>
  </sheetViews>
  <sheetFormatPr defaultColWidth="9.109375" defaultRowHeight="13.2" x14ac:dyDescent="0.25"/>
  <cols>
    <col min="1" max="1" width="5.33203125" style="569" bestFit="1" customWidth="1"/>
    <col min="2" max="2" width="82.5546875" style="660" customWidth="1"/>
    <col min="3" max="3" width="17" style="660" customWidth="1"/>
    <col min="4" max="4" width="16.109375" style="569" customWidth="1"/>
    <col min="5" max="5" width="16.6640625" style="420" customWidth="1"/>
    <col min="6" max="16384" width="9.109375" style="569"/>
  </cols>
  <sheetData>
    <row r="1" spans="1:5" ht="10.199999999999999" x14ac:dyDescent="0.2">
      <c r="A1" s="821"/>
      <c r="B1" s="821"/>
      <c r="C1" s="821"/>
      <c r="D1" s="821"/>
      <c r="E1" s="821"/>
    </row>
    <row r="2" spans="1:5" s="428" customFormat="1" ht="15.75" customHeight="1" x14ac:dyDescent="0.3">
      <c r="A2" s="822" t="s">
        <v>0</v>
      </c>
      <c r="B2" s="822"/>
      <c r="C2" s="822"/>
      <c r="D2" s="822"/>
      <c r="E2" s="822"/>
    </row>
    <row r="3" spans="1:5" s="428" customFormat="1" ht="15.75" customHeight="1" x14ac:dyDescent="0.3">
      <c r="A3" s="820" t="s">
        <v>629</v>
      </c>
      <c r="B3" s="820"/>
      <c r="C3" s="820"/>
      <c r="D3" s="820"/>
      <c r="E3" s="820"/>
    </row>
    <row r="4" spans="1:5" s="428" customFormat="1" ht="15.75" customHeight="1" x14ac:dyDescent="0.3">
      <c r="A4" s="820" t="s">
        <v>769</v>
      </c>
      <c r="B4" s="820"/>
      <c r="C4" s="820"/>
      <c r="D4" s="820"/>
      <c r="E4" s="820"/>
    </row>
    <row r="5" spans="1:5" s="428" customFormat="1" ht="15.75" customHeight="1" x14ac:dyDescent="0.3">
      <c r="A5" s="820" t="s">
        <v>770</v>
      </c>
      <c r="B5" s="820"/>
      <c r="C5" s="820"/>
      <c r="D5" s="820"/>
      <c r="E5" s="820"/>
    </row>
    <row r="6" spans="1:5" s="428" customFormat="1" ht="15.75" customHeight="1" x14ac:dyDescent="0.3">
      <c r="A6" s="820" t="s">
        <v>771</v>
      </c>
      <c r="B6" s="820"/>
      <c r="C6" s="820"/>
      <c r="D6" s="820"/>
      <c r="E6" s="820"/>
    </row>
    <row r="7" spans="1:5" s="428" customFormat="1" ht="15.75" customHeight="1" x14ac:dyDescent="0.3">
      <c r="A7" s="820"/>
      <c r="B7" s="820"/>
      <c r="C7" s="820"/>
      <c r="D7" s="820"/>
      <c r="E7" s="820"/>
    </row>
    <row r="8" spans="1:5" s="428" customFormat="1" x14ac:dyDescent="0.25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" customHeight="1" x14ac:dyDescent="0.3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5">
      <c r="A10" s="574"/>
      <c r="B10" s="575"/>
      <c r="C10" s="576"/>
      <c r="D10" s="576"/>
      <c r="E10" s="577"/>
    </row>
    <row r="11" spans="1:5" s="428" customFormat="1" ht="15.75" customHeight="1" x14ac:dyDescent="0.3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5">
      <c r="A12" s="581"/>
      <c r="B12" s="577"/>
      <c r="C12" s="582"/>
      <c r="D12" s="425"/>
      <c r="E12" s="577"/>
    </row>
    <row r="13" spans="1:5" s="421" customFormat="1" x14ac:dyDescent="0.25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5">
      <c r="A14" s="588">
        <v>1</v>
      </c>
      <c r="B14" s="587" t="s">
        <v>656</v>
      </c>
      <c r="C14" s="589">
        <v>34686289</v>
      </c>
      <c r="D14" s="589">
        <v>37829211</v>
      </c>
      <c r="E14" s="590">
        <f t="shared" ref="E14:E22" si="0">D14-C14</f>
        <v>3142922</v>
      </c>
    </row>
    <row r="15" spans="1:5" s="421" customFormat="1" x14ac:dyDescent="0.25">
      <c r="A15" s="588">
        <v>2</v>
      </c>
      <c r="B15" s="587" t="s">
        <v>635</v>
      </c>
      <c r="C15" s="589">
        <v>89030643</v>
      </c>
      <c r="D15" s="591">
        <v>85193950</v>
      </c>
      <c r="E15" s="590">
        <f t="shared" si="0"/>
        <v>-3836693</v>
      </c>
    </row>
    <row r="16" spans="1:5" s="421" customFormat="1" x14ac:dyDescent="0.25">
      <c r="A16" s="588">
        <v>3</v>
      </c>
      <c r="B16" s="587" t="s">
        <v>777</v>
      </c>
      <c r="C16" s="589">
        <v>32931847</v>
      </c>
      <c r="D16" s="591">
        <v>33382116</v>
      </c>
      <c r="E16" s="590">
        <f t="shared" si="0"/>
        <v>450269</v>
      </c>
    </row>
    <row r="17" spans="1:5" s="421" customFormat="1" x14ac:dyDescent="0.25">
      <c r="A17" s="588">
        <v>4</v>
      </c>
      <c r="B17" s="587" t="s">
        <v>115</v>
      </c>
      <c r="C17" s="589">
        <v>32931847</v>
      </c>
      <c r="D17" s="591">
        <v>33382116</v>
      </c>
      <c r="E17" s="590">
        <f t="shared" si="0"/>
        <v>450269</v>
      </c>
    </row>
    <row r="18" spans="1:5" s="421" customFormat="1" x14ac:dyDescent="0.25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5">
      <c r="A19" s="588">
        <v>6</v>
      </c>
      <c r="B19" s="587" t="s">
        <v>424</v>
      </c>
      <c r="C19" s="589">
        <v>201255</v>
      </c>
      <c r="D19" s="591">
        <v>253880</v>
      </c>
      <c r="E19" s="590">
        <f t="shared" si="0"/>
        <v>52625</v>
      </c>
    </row>
    <row r="20" spans="1:5" s="421" customFormat="1" x14ac:dyDescent="0.25">
      <c r="A20" s="588">
        <v>7</v>
      </c>
      <c r="B20" s="587" t="s">
        <v>758</v>
      </c>
      <c r="C20" s="589">
        <v>1368087</v>
      </c>
      <c r="D20" s="591">
        <v>1649171</v>
      </c>
      <c r="E20" s="590">
        <f t="shared" si="0"/>
        <v>281084</v>
      </c>
    </row>
    <row r="21" spans="1:5" s="421" customFormat="1" x14ac:dyDescent="0.25">
      <c r="A21" s="588"/>
      <c r="B21" s="592" t="s">
        <v>778</v>
      </c>
      <c r="C21" s="593">
        <f>SUM(C15+C16+C19)</f>
        <v>122163745</v>
      </c>
      <c r="D21" s="593">
        <f>SUM(D15+D16+D19)</f>
        <v>118829946</v>
      </c>
      <c r="E21" s="593">
        <f t="shared" si="0"/>
        <v>-3333799</v>
      </c>
    </row>
    <row r="22" spans="1:5" s="421" customFormat="1" x14ac:dyDescent="0.25">
      <c r="A22" s="588"/>
      <c r="B22" s="592" t="s">
        <v>465</v>
      </c>
      <c r="C22" s="593">
        <f>SUM(C14+C21)</f>
        <v>156850034</v>
      </c>
      <c r="D22" s="593">
        <f>SUM(D14+D21)</f>
        <v>156659157</v>
      </c>
      <c r="E22" s="593">
        <f t="shared" si="0"/>
        <v>-190877</v>
      </c>
    </row>
    <row r="23" spans="1:5" s="421" customFormat="1" x14ac:dyDescent="0.25">
      <c r="A23" s="588"/>
      <c r="B23" s="587"/>
      <c r="C23" s="587"/>
      <c r="D23" s="587"/>
      <c r="E23" s="587"/>
    </row>
    <row r="24" spans="1:5" s="421" customFormat="1" x14ac:dyDescent="0.25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5">
      <c r="A25" s="588">
        <v>1</v>
      </c>
      <c r="B25" s="587" t="s">
        <v>656</v>
      </c>
      <c r="C25" s="589">
        <v>104545675</v>
      </c>
      <c r="D25" s="589">
        <v>113416765</v>
      </c>
      <c r="E25" s="590">
        <f t="shared" ref="E25:E33" si="1">D25-C25</f>
        <v>8871090</v>
      </c>
    </row>
    <row r="26" spans="1:5" s="421" customFormat="1" x14ac:dyDescent="0.25">
      <c r="A26" s="588">
        <v>2</v>
      </c>
      <c r="B26" s="587" t="s">
        <v>635</v>
      </c>
      <c r="C26" s="589">
        <v>116531165</v>
      </c>
      <c r="D26" s="591">
        <v>132265897</v>
      </c>
      <c r="E26" s="590">
        <f t="shared" si="1"/>
        <v>15734732</v>
      </c>
    </row>
    <row r="27" spans="1:5" s="421" customFormat="1" x14ac:dyDescent="0.25">
      <c r="A27" s="588">
        <v>3</v>
      </c>
      <c r="B27" s="587" t="s">
        <v>777</v>
      </c>
      <c r="C27" s="589">
        <v>65028189</v>
      </c>
      <c r="D27" s="591">
        <v>66564050</v>
      </c>
      <c r="E27" s="590">
        <f t="shared" si="1"/>
        <v>1535861</v>
      </c>
    </row>
    <row r="28" spans="1:5" s="421" customFormat="1" x14ac:dyDescent="0.25">
      <c r="A28" s="588">
        <v>4</v>
      </c>
      <c r="B28" s="587" t="s">
        <v>115</v>
      </c>
      <c r="C28" s="589">
        <v>65028189</v>
      </c>
      <c r="D28" s="591">
        <v>66564050</v>
      </c>
      <c r="E28" s="590">
        <f t="shared" si="1"/>
        <v>1535861</v>
      </c>
    </row>
    <row r="29" spans="1:5" s="421" customFormat="1" x14ac:dyDescent="0.25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5">
      <c r="A30" s="588">
        <v>6</v>
      </c>
      <c r="B30" s="587" t="s">
        <v>424</v>
      </c>
      <c r="C30" s="589">
        <v>1153587</v>
      </c>
      <c r="D30" s="591">
        <v>484092</v>
      </c>
      <c r="E30" s="590">
        <f t="shared" si="1"/>
        <v>-669495</v>
      </c>
    </row>
    <row r="31" spans="1:5" s="421" customFormat="1" x14ac:dyDescent="0.25">
      <c r="A31" s="588">
        <v>7</v>
      </c>
      <c r="B31" s="587" t="s">
        <v>758</v>
      </c>
      <c r="C31" s="590">
        <v>5132339</v>
      </c>
      <c r="D31" s="594">
        <v>5404541</v>
      </c>
      <c r="E31" s="590">
        <f t="shared" si="1"/>
        <v>272202</v>
      </c>
    </row>
    <row r="32" spans="1:5" s="421" customFormat="1" x14ac:dyDescent="0.25">
      <c r="A32" s="588"/>
      <c r="B32" s="592" t="s">
        <v>780</v>
      </c>
      <c r="C32" s="593">
        <f>SUM(C26+C27+C30)</f>
        <v>182712941</v>
      </c>
      <c r="D32" s="593">
        <f>SUM(D26+D27+D30)</f>
        <v>199314039</v>
      </c>
      <c r="E32" s="593">
        <f t="shared" si="1"/>
        <v>16601098</v>
      </c>
    </row>
    <row r="33" spans="1:5" s="421" customFormat="1" x14ac:dyDescent="0.25">
      <c r="A33" s="588"/>
      <c r="B33" s="592" t="s">
        <v>467</v>
      </c>
      <c r="C33" s="593">
        <f>SUM(C25+C32)</f>
        <v>287258616</v>
      </c>
      <c r="D33" s="593">
        <f>SUM(D25+D32)</f>
        <v>312730804</v>
      </c>
      <c r="E33" s="593">
        <f t="shared" si="1"/>
        <v>25472188</v>
      </c>
    </row>
    <row r="34" spans="1:5" s="421" customFormat="1" x14ac:dyDescent="0.25">
      <c r="A34" s="588"/>
      <c r="B34" s="587"/>
      <c r="C34" s="587"/>
      <c r="D34" s="587"/>
      <c r="E34" s="587"/>
    </row>
    <row r="35" spans="1:5" s="421" customFormat="1" x14ac:dyDescent="0.25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5">
      <c r="A36" s="588">
        <v>1</v>
      </c>
      <c r="B36" s="587" t="s">
        <v>781</v>
      </c>
      <c r="C36" s="590">
        <f t="shared" ref="C36:D42" si="2">C14+C25</f>
        <v>139231964</v>
      </c>
      <c r="D36" s="590">
        <f t="shared" si="2"/>
        <v>151245976</v>
      </c>
      <c r="E36" s="590">
        <f t="shared" ref="E36:E44" si="3">D36-C36</f>
        <v>12014012</v>
      </c>
    </row>
    <row r="37" spans="1:5" s="421" customFormat="1" x14ac:dyDescent="0.25">
      <c r="A37" s="588">
        <v>2</v>
      </c>
      <c r="B37" s="587" t="s">
        <v>782</v>
      </c>
      <c r="C37" s="590">
        <f t="shared" si="2"/>
        <v>205561808</v>
      </c>
      <c r="D37" s="590">
        <f t="shared" si="2"/>
        <v>217459847</v>
      </c>
      <c r="E37" s="590">
        <f t="shared" si="3"/>
        <v>11898039</v>
      </c>
    </row>
    <row r="38" spans="1:5" s="421" customFormat="1" x14ac:dyDescent="0.25">
      <c r="A38" s="588">
        <v>3</v>
      </c>
      <c r="B38" s="587" t="s">
        <v>783</v>
      </c>
      <c r="C38" s="590">
        <f t="shared" si="2"/>
        <v>97960036</v>
      </c>
      <c r="D38" s="590">
        <f t="shared" si="2"/>
        <v>99946166</v>
      </c>
      <c r="E38" s="590">
        <f t="shared" si="3"/>
        <v>1986130</v>
      </c>
    </row>
    <row r="39" spans="1:5" s="421" customFormat="1" x14ac:dyDescent="0.25">
      <c r="A39" s="588">
        <v>4</v>
      </c>
      <c r="B39" s="587" t="s">
        <v>784</v>
      </c>
      <c r="C39" s="590">
        <f t="shared" si="2"/>
        <v>97960036</v>
      </c>
      <c r="D39" s="590">
        <f t="shared" si="2"/>
        <v>99946166</v>
      </c>
      <c r="E39" s="590">
        <f t="shared" si="3"/>
        <v>1986130</v>
      </c>
    </row>
    <row r="40" spans="1:5" s="421" customFormat="1" x14ac:dyDescent="0.25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5">
      <c r="A41" s="588">
        <v>6</v>
      </c>
      <c r="B41" s="587" t="s">
        <v>786</v>
      </c>
      <c r="C41" s="590">
        <f t="shared" si="2"/>
        <v>1354842</v>
      </c>
      <c r="D41" s="590">
        <f t="shared" si="2"/>
        <v>737972</v>
      </c>
      <c r="E41" s="590">
        <f t="shared" si="3"/>
        <v>-616870</v>
      </c>
    </row>
    <row r="42" spans="1:5" s="421" customFormat="1" x14ac:dyDescent="0.25">
      <c r="A42" s="588">
        <v>7</v>
      </c>
      <c r="B42" s="587" t="s">
        <v>787</v>
      </c>
      <c r="C42" s="590">
        <f t="shared" si="2"/>
        <v>6500426</v>
      </c>
      <c r="D42" s="590">
        <f t="shared" si="2"/>
        <v>7053712</v>
      </c>
      <c r="E42" s="590">
        <f t="shared" si="3"/>
        <v>553286</v>
      </c>
    </row>
    <row r="43" spans="1:5" s="421" customFormat="1" x14ac:dyDescent="0.25">
      <c r="A43" s="588"/>
      <c r="B43" s="592" t="s">
        <v>788</v>
      </c>
      <c r="C43" s="593">
        <f>SUM(C37+C38+C41)</f>
        <v>304876686</v>
      </c>
      <c r="D43" s="593">
        <f>SUM(D37+D38+D41)</f>
        <v>318143985</v>
      </c>
      <c r="E43" s="593">
        <f t="shared" si="3"/>
        <v>13267299</v>
      </c>
    </row>
    <row r="44" spans="1:5" s="421" customFormat="1" x14ac:dyDescent="0.25">
      <c r="A44" s="588"/>
      <c r="B44" s="592" t="s">
        <v>725</v>
      </c>
      <c r="C44" s="593">
        <f>SUM(C36+C43)</f>
        <v>444108650</v>
      </c>
      <c r="D44" s="593">
        <f>SUM(D36+D43)</f>
        <v>469389961</v>
      </c>
      <c r="E44" s="593">
        <f t="shared" si="3"/>
        <v>25281311</v>
      </c>
    </row>
    <row r="45" spans="1:5" s="421" customFormat="1" x14ac:dyDescent="0.25">
      <c r="A45" s="588"/>
      <c r="B45" s="587"/>
      <c r="C45" s="590"/>
      <c r="D45" s="591"/>
      <c r="E45" s="587"/>
    </row>
    <row r="46" spans="1:5" s="421" customFormat="1" x14ac:dyDescent="0.25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5">
      <c r="A47" s="588">
        <v>1</v>
      </c>
      <c r="B47" s="587" t="s">
        <v>656</v>
      </c>
      <c r="C47" s="589">
        <v>17963053</v>
      </c>
      <c r="D47" s="589">
        <v>18553846</v>
      </c>
      <c r="E47" s="590">
        <f t="shared" ref="E47:E55" si="4">D47-C47</f>
        <v>590793</v>
      </c>
    </row>
    <row r="48" spans="1:5" s="421" customFormat="1" x14ac:dyDescent="0.25">
      <c r="A48" s="588">
        <v>2</v>
      </c>
      <c r="B48" s="587" t="s">
        <v>635</v>
      </c>
      <c r="C48" s="589">
        <v>28121510</v>
      </c>
      <c r="D48" s="591">
        <v>24879315</v>
      </c>
      <c r="E48" s="590">
        <f t="shared" si="4"/>
        <v>-3242195</v>
      </c>
    </row>
    <row r="49" spans="1:5" s="421" customFormat="1" x14ac:dyDescent="0.25">
      <c r="A49" s="588">
        <v>3</v>
      </c>
      <c r="B49" s="587" t="s">
        <v>777</v>
      </c>
      <c r="C49" s="589">
        <v>7687592</v>
      </c>
      <c r="D49" s="591">
        <v>8522358</v>
      </c>
      <c r="E49" s="590">
        <f t="shared" si="4"/>
        <v>834766</v>
      </c>
    </row>
    <row r="50" spans="1:5" s="421" customFormat="1" x14ac:dyDescent="0.25">
      <c r="A50" s="588">
        <v>4</v>
      </c>
      <c r="B50" s="587" t="s">
        <v>115</v>
      </c>
      <c r="C50" s="589">
        <v>7687592</v>
      </c>
      <c r="D50" s="591">
        <v>8522358</v>
      </c>
      <c r="E50" s="590">
        <f t="shared" si="4"/>
        <v>834766</v>
      </c>
    </row>
    <row r="51" spans="1:5" s="421" customFormat="1" x14ac:dyDescent="0.25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5">
      <c r="A52" s="588">
        <v>6</v>
      </c>
      <c r="B52" s="587" t="s">
        <v>424</v>
      </c>
      <c r="C52" s="589">
        <v>29548</v>
      </c>
      <c r="D52" s="591">
        <v>86625</v>
      </c>
      <c r="E52" s="590">
        <f t="shared" si="4"/>
        <v>57077</v>
      </c>
    </row>
    <row r="53" spans="1:5" s="421" customFormat="1" x14ac:dyDescent="0.25">
      <c r="A53" s="588">
        <v>7</v>
      </c>
      <c r="B53" s="587" t="s">
        <v>758</v>
      </c>
      <c r="C53" s="589">
        <v>0</v>
      </c>
      <c r="D53" s="591">
        <v>8171</v>
      </c>
      <c r="E53" s="590">
        <f t="shared" si="4"/>
        <v>8171</v>
      </c>
    </row>
    <row r="54" spans="1:5" s="421" customFormat="1" x14ac:dyDescent="0.25">
      <c r="A54" s="588"/>
      <c r="B54" s="592" t="s">
        <v>790</v>
      </c>
      <c r="C54" s="593">
        <f>SUM(C48+C49+C52)</f>
        <v>35838650</v>
      </c>
      <c r="D54" s="593">
        <f>SUM(D48+D49+D52)</f>
        <v>33488298</v>
      </c>
      <c r="E54" s="593">
        <f t="shared" si="4"/>
        <v>-2350352</v>
      </c>
    </row>
    <row r="55" spans="1:5" s="421" customFormat="1" x14ac:dyDescent="0.25">
      <c r="A55" s="588"/>
      <c r="B55" s="592" t="s">
        <v>466</v>
      </c>
      <c r="C55" s="593">
        <f>SUM(C47+C54)</f>
        <v>53801703</v>
      </c>
      <c r="D55" s="593">
        <f>SUM(D47+D54)</f>
        <v>52042144</v>
      </c>
      <c r="E55" s="593">
        <f t="shared" si="4"/>
        <v>-1759559</v>
      </c>
    </row>
    <row r="56" spans="1:5" s="421" customFormat="1" x14ac:dyDescent="0.25">
      <c r="A56" s="588"/>
      <c r="B56" s="587"/>
      <c r="C56" s="587"/>
      <c r="D56" s="591"/>
      <c r="E56" s="587"/>
    </row>
    <row r="57" spans="1:5" s="421" customFormat="1" x14ac:dyDescent="0.25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5">
      <c r="A58" s="588">
        <v>1</v>
      </c>
      <c r="B58" s="587" t="s">
        <v>656</v>
      </c>
      <c r="C58" s="589">
        <v>41191436</v>
      </c>
      <c r="D58" s="589">
        <v>43388234</v>
      </c>
      <c r="E58" s="590">
        <f t="shared" ref="E58:E66" si="5">D58-C58</f>
        <v>2196798</v>
      </c>
    </row>
    <row r="59" spans="1:5" s="421" customFormat="1" x14ac:dyDescent="0.25">
      <c r="A59" s="588">
        <v>2</v>
      </c>
      <c r="B59" s="587" t="s">
        <v>635</v>
      </c>
      <c r="C59" s="589">
        <v>23973082</v>
      </c>
      <c r="D59" s="591">
        <v>25430029</v>
      </c>
      <c r="E59" s="590">
        <f t="shared" si="5"/>
        <v>1456947</v>
      </c>
    </row>
    <row r="60" spans="1:5" s="421" customFormat="1" x14ac:dyDescent="0.25">
      <c r="A60" s="588">
        <v>3</v>
      </c>
      <c r="B60" s="587" t="s">
        <v>777</v>
      </c>
      <c r="C60" s="589">
        <f>C61+C62</f>
        <v>13782560</v>
      </c>
      <c r="D60" s="591">
        <f>D61+D62</f>
        <v>13913687</v>
      </c>
      <c r="E60" s="590">
        <f t="shared" si="5"/>
        <v>131127</v>
      </c>
    </row>
    <row r="61" spans="1:5" s="421" customFormat="1" x14ac:dyDescent="0.25">
      <c r="A61" s="588">
        <v>4</v>
      </c>
      <c r="B61" s="587" t="s">
        <v>115</v>
      </c>
      <c r="C61" s="589">
        <v>13782560</v>
      </c>
      <c r="D61" s="591">
        <v>13913687</v>
      </c>
      <c r="E61" s="590">
        <f t="shared" si="5"/>
        <v>131127</v>
      </c>
    </row>
    <row r="62" spans="1:5" s="421" customFormat="1" x14ac:dyDescent="0.25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5">
      <c r="A63" s="588">
        <v>6</v>
      </c>
      <c r="B63" s="587" t="s">
        <v>424</v>
      </c>
      <c r="C63" s="589">
        <v>283322</v>
      </c>
      <c r="D63" s="591">
        <v>39760</v>
      </c>
      <c r="E63" s="590">
        <f t="shared" si="5"/>
        <v>-243562</v>
      </c>
    </row>
    <row r="64" spans="1:5" s="421" customFormat="1" x14ac:dyDescent="0.25">
      <c r="A64" s="588">
        <v>7</v>
      </c>
      <c r="B64" s="587" t="s">
        <v>758</v>
      </c>
      <c r="C64" s="589">
        <v>108324</v>
      </c>
      <c r="D64" s="591">
        <v>134643</v>
      </c>
      <c r="E64" s="590">
        <f t="shared" si="5"/>
        <v>26319</v>
      </c>
    </row>
    <row r="65" spans="1:5" s="421" customFormat="1" x14ac:dyDescent="0.25">
      <c r="A65" s="588"/>
      <c r="B65" s="592" t="s">
        <v>792</v>
      </c>
      <c r="C65" s="593">
        <f>SUM(C59+C60+C63)</f>
        <v>38038964</v>
      </c>
      <c r="D65" s="593">
        <f>SUM(D59+D60+D63)</f>
        <v>39383476</v>
      </c>
      <c r="E65" s="593">
        <f t="shared" si="5"/>
        <v>1344512</v>
      </c>
    </row>
    <row r="66" spans="1:5" s="421" customFormat="1" x14ac:dyDescent="0.25">
      <c r="A66" s="588"/>
      <c r="B66" s="592" t="s">
        <v>468</v>
      </c>
      <c r="C66" s="593">
        <f>SUM(C58+C65)</f>
        <v>79230400</v>
      </c>
      <c r="D66" s="593">
        <f>SUM(D58+D65)</f>
        <v>82771710</v>
      </c>
      <c r="E66" s="593">
        <f t="shared" si="5"/>
        <v>3541310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5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5">
      <c r="A69" s="588">
        <v>1</v>
      </c>
      <c r="B69" s="587" t="s">
        <v>781</v>
      </c>
      <c r="C69" s="590">
        <f t="shared" ref="C69:D75" si="6">C47+C58</f>
        <v>59154489</v>
      </c>
      <c r="D69" s="590">
        <f t="shared" si="6"/>
        <v>61942080</v>
      </c>
      <c r="E69" s="590">
        <f t="shared" ref="E69:E77" si="7">D69-C69</f>
        <v>2787591</v>
      </c>
    </row>
    <row r="70" spans="1:5" s="421" customFormat="1" x14ac:dyDescent="0.25">
      <c r="A70" s="588">
        <v>2</v>
      </c>
      <c r="B70" s="587" t="s">
        <v>782</v>
      </c>
      <c r="C70" s="590">
        <f t="shared" si="6"/>
        <v>52094592</v>
      </c>
      <c r="D70" s="590">
        <f t="shared" si="6"/>
        <v>50309344</v>
      </c>
      <c r="E70" s="590">
        <f t="shared" si="7"/>
        <v>-1785248</v>
      </c>
    </row>
    <row r="71" spans="1:5" s="421" customFormat="1" x14ac:dyDescent="0.25">
      <c r="A71" s="588">
        <v>3</v>
      </c>
      <c r="B71" s="587" t="s">
        <v>783</v>
      </c>
      <c r="C71" s="590">
        <f t="shared" si="6"/>
        <v>21470152</v>
      </c>
      <c r="D71" s="590">
        <f t="shared" si="6"/>
        <v>22436045</v>
      </c>
      <c r="E71" s="590">
        <f t="shared" si="7"/>
        <v>965893</v>
      </c>
    </row>
    <row r="72" spans="1:5" s="421" customFormat="1" x14ac:dyDescent="0.25">
      <c r="A72" s="588">
        <v>4</v>
      </c>
      <c r="B72" s="587" t="s">
        <v>784</v>
      </c>
      <c r="C72" s="590">
        <f t="shared" si="6"/>
        <v>21470152</v>
      </c>
      <c r="D72" s="590">
        <f t="shared" si="6"/>
        <v>22436045</v>
      </c>
      <c r="E72" s="590">
        <f t="shared" si="7"/>
        <v>965893</v>
      </c>
    </row>
    <row r="73" spans="1:5" s="421" customFormat="1" x14ac:dyDescent="0.25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5">
      <c r="A74" s="588">
        <v>6</v>
      </c>
      <c r="B74" s="587" t="s">
        <v>786</v>
      </c>
      <c r="C74" s="590">
        <f t="shared" si="6"/>
        <v>312870</v>
      </c>
      <c r="D74" s="590">
        <f t="shared" si="6"/>
        <v>126385</v>
      </c>
      <c r="E74" s="590">
        <f t="shared" si="7"/>
        <v>-186485</v>
      </c>
    </row>
    <row r="75" spans="1:5" s="421" customFormat="1" x14ac:dyDescent="0.25">
      <c r="A75" s="588">
        <v>7</v>
      </c>
      <c r="B75" s="587" t="s">
        <v>787</v>
      </c>
      <c r="C75" s="590">
        <f t="shared" si="6"/>
        <v>108324</v>
      </c>
      <c r="D75" s="590">
        <f t="shared" si="6"/>
        <v>142814</v>
      </c>
      <c r="E75" s="590">
        <f t="shared" si="7"/>
        <v>34490</v>
      </c>
    </row>
    <row r="76" spans="1:5" s="421" customFormat="1" x14ac:dyDescent="0.25">
      <c r="A76" s="588"/>
      <c r="B76" s="592" t="s">
        <v>793</v>
      </c>
      <c r="C76" s="593">
        <f>SUM(C70+C71+C74)</f>
        <v>73877614</v>
      </c>
      <c r="D76" s="593">
        <f>SUM(D70+D71+D74)</f>
        <v>72871774</v>
      </c>
      <c r="E76" s="593">
        <f t="shared" si="7"/>
        <v>-1005840</v>
      </c>
    </row>
    <row r="77" spans="1:5" s="421" customFormat="1" x14ac:dyDescent="0.25">
      <c r="A77" s="588"/>
      <c r="B77" s="592" t="s">
        <v>726</v>
      </c>
      <c r="C77" s="593">
        <f>SUM(C69+C76)</f>
        <v>133032103</v>
      </c>
      <c r="D77" s="593">
        <f>SUM(D69+D76)</f>
        <v>134813854</v>
      </c>
      <c r="E77" s="593">
        <f t="shared" si="7"/>
        <v>1781751</v>
      </c>
    </row>
    <row r="78" spans="1:5" s="421" customFormat="1" x14ac:dyDescent="0.25">
      <c r="A78" s="582"/>
      <c r="B78" s="586"/>
      <c r="C78" s="570"/>
      <c r="D78" s="570"/>
      <c r="E78" s="587"/>
    </row>
    <row r="79" spans="1:5" s="421" customFormat="1" ht="15.75" customHeight="1" x14ac:dyDescent="0.3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5">
      <c r="A80" s="582"/>
      <c r="B80" s="586"/>
      <c r="C80" s="425"/>
      <c r="D80" s="425"/>
      <c r="E80" s="587"/>
    </row>
    <row r="81" spans="1:5" s="421" customFormat="1" x14ac:dyDescent="0.25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5">
      <c r="A82" s="588"/>
      <c r="B82" s="587"/>
      <c r="C82" s="590"/>
      <c r="D82" s="590"/>
      <c r="E82" s="587"/>
    </row>
    <row r="83" spans="1:5" s="421" customFormat="1" x14ac:dyDescent="0.25">
      <c r="A83" s="588">
        <v>1</v>
      </c>
      <c r="B83" s="587" t="s">
        <v>656</v>
      </c>
      <c r="C83" s="599">
        <f t="shared" ref="C83:D89" si="8">IF(C$44=0,0,C14/C$44)</f>
        <v>7.810316011633639E-2</v>
      </c>
      <c r="D83" s="599">
        <f t="shared" si="8"/>
        <v>8.0592288167833231E-2</v>
      </c>
      <c r="E83" s="599">
        <f t="shared" ref="E83:E91" si="9">D83-C83</f>
        <v>2.4891280514968417E-3</v>
      </c>
    </row>
    <row r="84" spans="1:5" s="421" customFormat="1" x14ac:dyDescent="0.25">
      <c r="A84" s="588">
        <v>2</v>
      </c>
      <c r="B84" s="587" t="s">
        <v>635</v>
      </c>
      <c r="C84" s="599">
        <f t="shared" si="8"/>
        <v>0.20047040966214011</v>
      </c>
      <c r="D84" s="599">
        <f t="shared" si="8"/>
        <v>0.18149930138791356</v>
      </c>
      <c r="E84" s="599">
        <f t="shared" si="9"/>
        <v>-1.8971108274226545E-2</v>
      </c>
    </row>
    <row r="85" spans="1:5" s="421" customFormat="1" x14ac:dyDescent="0.25">
      <c r="A85" s="588">
        <v>3</v>
      </c>
      <c r="B85" s="587" t="s">
        <v>777</v>
      </c>
      <c r="C85" s="599">
        <f t="shared" si="8"/>
        <v>7.4152680881131222E-2</v>
      </c>
      <c r="D85" s="599">
        <f t="shared" si="8"/>
        <v>7.111808682248319E-2</v>
      </c>
      <c r="E85" s="599">
        <f t="shared" si="9"/>
        <v>-3.0345940586480324E-3</v>
      </c>
    </row>
    <row r="86" spans="1:5" s="421" customFormat="1" x14ac:dyDescent="0.25">
      <c r="A86" s="588">
        <v>4</v>
      </c>
      <c r="B86" s="587" t="s">
        <v>115</v>
      </c>
      <c r="C86" s="599">
        <f t="shared" si="8"/>
        <v>7.4152680881131222E-2</v>
      </c>
      <c r="D86" s="599">
        <f t="shared" si="8"/>
        <v>7.111808682248319E-2</v>
      </c>
      <c r="E86" s="599">
        <f t="shared" si="9"/>
        <v>-3.0345940586480324E-3</v>
      </c>
    </row>
    <row r="87" spans="1:5" s="421" customFormat="1" x14ac:dyDescent="0.25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5">
      <c r="A88" s="588">
        <v>6</v>
      </c>
      <c r="B88" s="587" t="s">
        <v>424</v>
      </c>
      <c r="C88" s="599">
        <f t="shared" si="8"/>
        <v>4.5316613400797303E-4</v>
      </c>
      <c r="D88" s="599">
        <f t="shared" si="8"/>
        <v>5.4087224076784205E-4</v>
      </c>
      <c r="E88" s="599">
        <f t="shared" si="9"/>
        <v>8.7706106759869015E-5</v>
      </c>
    </row>
    <row r="89" spans="1:5" s="421" customFormat="1" x14ac:dyDescent="0.25">
      <c r="A89" s="588">
        <v>7</v>
      </c>
      <c r="B89" s="587" t="s">
        <v>758</v>
      </c>
      <c r="C89" s="599">
        <f t="shared" si="8"/>
        <v>3.0805232007978228E-3</v>
      </c>
      <c r="D89" s="599">
        <f t="shared" si="8"/>
        <v>3.5134347494065812E-3</v>
      </c>
      <c r="E89" s="599">
        <f t="shared" si="9"/>
        <v>4.3291154860875848E-4</v>
      </c>
    </row>
    <row r="90" spans="1:5" s="421" customFormat="1" x14ac:dyDescent="0.25">
      <c r="A90" s="588"/>
      <c r="B90" s="592" t="s">
        <v>796</v>
      </c>
      <c r="C90" s="600">
        <f>SUM(C84+C85+C88)</f>
        <v>0.27507625667727931</v>
      </c>
      <c r="D90" s="600">
        <f>SUM(D84+D85+D88)</f>
        <v>0.25315826045116457</v>
      </c>
      <c r="E90" s="601">
        <f t="shared" si="9"/>
        <v>-2.1917996226114733E-2</v>
      </c>
    </row>
    <row r="91" spans="1:5" s="421" customFormat="1" x14ac:dyDescent="0.25">
      <c r="A91" s="588"/>
      <c r="B91" s="592" t="s">
        <v>797</v>
      </c>
      <c r="C91" s="600">
        <f>SUM(C83+C90)</f>
        <v>0.3531794167936157</v>
      </c>
      <c r="D91" s="600">
        <f>SUM(D83+D90)</f>
        <v>0.33375054861899778</v>
      </c>
      <c r="E91" s="601">
        <f t="shared" si="9"/>
        <v>-1.9428868174617919E-2</v>
      </c>
    </row>
    <row r="92" spans="1:5" s="421" customFormat="1" x14ac:dyDescent="0.25">
      <c r="A92" s="588"/>
      <c r="B92" s="577"/>
      <c r="C92" s="602"/>
      <c r="D92" s="602"/>
      <c r="E92" s="592"/>
    </row>
    <row r="93" spans="1:5" s="421" customFormat="1" x14ac:dyDescent="0.25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5">
      <c r="A94" s="588"/>
      <c r="B94" s="587"/>
      <c r="C94" s="602"/>
      <c r="D94" s="602"/>
      <c r="E94" s="592"/>
    </row>
    <row r="95" spans="1:5" s="421" customFormat="1" x14ac:dyDescent="0.25">
      <c r="A95" s="588">
        <v>1</v>
      </c>
      <c r="B95" s="587" t="s">
        <v>656</v>
      </c>
      <c r="C95" s="599">
        <f t="shared" ref="C95:D101" si="10">IF(C$44=0,0,C25/C$44)</f>
        <v>0.23540562652855332</v>
      </c>
      <c r="D95" s="599">
        <f t="shared" si="10"/>
        <v>0.2416258855608546</v>
      </c>
      <c r="E95" s="599">
        <f t="shared" ref="E95:E103" si="11">D95-C95</f>
        <v>6.2202590323012785E-3</v>
      </c>
    </row>
    <row r="96" spans="1:5" s="421" customFormat="1" x14ac:dyDescent="0.25">
      <c r="A96" s="588">
        <v>2</v>
      </c>
      <c r="B96" s="587" t="s">
        <v>635</v>
      </c>
      <c r="C96" s="599">
        <f t="shared" si="10"/>
        <v>0.26239336928024259</v>
      </c>
      <c r="D96" s="599">
        <f t="shared" si="10"/>
        <v>0.28178254327855129</v>
      </c>
      <c r="E96" s="599">
        <f t="shared" si="11"/>
        <v>1.9389173998308695E-2</v>
      </c>
    </row>
    <row r="97" spans="1:5" s="421" customFormat="1" x14ac:dyDescent="0.25">
      <c r="A97" s="588">
        <v>3</v>
      </c>
      <c r="B97" s="587" t="s">
        <v>777</v>
      </c>
      <c r="C97" s="599">
        <f t="shared" si="10"/>
        <v>0.14642405411378501</v>
      </c>
      <c r="D97" s="599">
        <f t="shared" si="10"/>
        <v>0.1418097009535319</v>
      </c>
      <c r="E97" s="599">
        <f t="shared" si="11"/>
        <v>-4.614353160253104E-3</v>
      </c>
    </row>
    <row r="98" spans="1:5" s="421" customFormat="1" x14ac:dyDescent="0.25">
      <c r="A98" s="588">
        <v>4</v>
      </c>
      <c r="B98" s="587" t="s">
        <v>115</v>
      </c>
      <c r="C98" s="599">
        <f t="shared" si="10"/>
        <v>0.14642405411378501</v>
      </c>
      <c r="D98" s="599">
        <f t="shared" si="10"/>
        <v>0.1418097009535319</v>
      </c>
      <c r="E98" s="599">
        <f t="shared" si="11"/>
        <v>-4.614353160253104E-3</v>
      </c>
    </row>
    <row r="99" spans="1:5" s="421" customFormat="1" x14ac:dyDescent="0.25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5">
      <c r="A100" s="588">
        <v>6</v>
      </c>
      <c r="B100" s="587" t="s">
        <v>424</v>
      </c>
      <c r="C100" s="599">
        <f t="shared" si="10"/>
        <v>2.5975332838034117E-3</v>
      </c>
      <c r="D100" s="599">
        <f t="shared" si="10"/>
        <v>1.0313215880643856E-3</v>
      </c>
      <c r="E100" s="599">
        <f t="shared" si="11"/>
        <v>-1.5662116957390261E-3</v>
      </c>
    </row>
    <row r="101" spans="1:5" s="421" customFormat="1" x14ac:dyDescent="0.25">
      <c r="A101" s="588">
        <v>7</v>
      </c>
      <c r="B101" s="587" t="s">
        <v>758</v>
      </c>
      <c r="C101" s="599">
        <f t="shared" si="10"/>
        <v>1.1556494114672165E-2</v>
      </c>
      <c r="D101" s="599">
        <f t="shared" si="10"/>
        <v>1.1513968020291768E-2</v>
      </c>
      <c r="E101" s="599">
        <f t="shared" si="11"/>
        <v>-4.2526094380396923E-5</v>
      </c>
    </row>
    <row r="102" spans="1:5" s="421" customFormat="1" x14ac:dyDescent="0.25">
      <c r="A102" s="588"/>
      <c r="B102" s="592" t="s">
        <v>799</v>
      </c>
      <c r="C102" s="600">
        <f>SUM(C96+C97+C100)</f>
        <v>0.41141495667783101</v>
      </c>
      <c r="D102" s="600">
        <f>SUM(D96+D97+D100)</f>
        <v>0.4246235658201476</v>
      </c>
      <c r="E102" s="601">
        <f t="shared" si="11"/>
        <v>1.3208609142316585E-2</v>
      </c>
    </row>
    <row r="103" spans="1:5" s="421" customFormat="1" x14ac:dyDescent="0.25">
      <c r="A103" s="588"/>
      <c r="B103" s="592" t="s">
        <v>800</v>
      </c>
      <c r="C103" s="600">
        <f>SUM(C95+C102)</f>
        <v>0.64682058320638436</v>
      </c>
      <c r="D103" s="600">
        <f>SUM(D95+D102)</f>
        <v>0.66624945138100222</v>
      </c>
      <c r="E103" s="601">
        <f t="shared" si="11"/>
        <v>1.9428868174617864E-2</v>
      </c>
    </row>
    <row r="104" spans="1:5" s="421" customFormat="1" x14ac:dyDescent="0.25">
      <c r="A104" s="582"/>
      <c r="B104" s="603"/>
      <c r="C104" s="601"/>
      <c r="D104" s="599"/>
      <c r="E104" s="600"/>
    </row>
    <row r="105" spans="1:5" s="421" customFormat="1" x14ac:dyDescent="0.25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5">
      <c r="A106" s="584"/>
      <c r="B106" s="586"/>
      <c r="C106" s="604"/>
      <c r="D106" s="604"/>
      <c r="E106" s="600"/>
    </row>
    <row r="107" spans="1:5" s="421" customFormat="1" x14ac:dyDescent="0.25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5">
      <c r="A108" s="584"/>
      <c r="B108" s="586"/>
      <c r="C108" s="604"/>
      <c r="D108" s="604"/>
      <c r="E108" s="600"/>
    </row>
    <row r="109" spans="1:5" s="421" customFormat="1" x14ac:dyDescent="0.25">
      <c r="A109" s="588">
        <v>1</v>
      </c>
      <c r="B109" s="587" t="s">
        <v>656</v>
      </c>
      <c r="C109" s="599">
        <f t="shared" ref="C109:D115" si="12">IF(C$77=0,0,C47/C$77)</f>
        <v>0.13502795637230511</v>
      </c>
      <c r="D109" s="599">
        <f t="shared" si="12"/>
        <v>0.13762566271564344</v>
      </c>
      <c r="E109" s="599">
        <f t="shared" ref="E109:E117" si="13">D109-C109</f>
        <v>2.5977063433383352E-3</v>
      </c>
    </row>
    <row r="110" spans="1:5" s="421" customFormat="1" x14ac:dyDescent="0.25">
      <c r="A110" s="588">
        <v>2</v>
      </c>
      <c r="B110" s="587" t="s">
        <v>635</v>
      </c>
      <c r="C110" s="599">
        <f t="shared" si="12"/>
        <v>0.21138890061746976</v>
      </c>
      <c r="D110" s="599">
        <f t="shared" si="12"/>
        <v>0.18454568474839389</v>
      </c>
      <c r="E110" s="599">
        <f t="shared" si="13"/>
        <v>-2.684321586907587E-2</v>
      </c>
    </row>
    <row r="111" spans="1:5" s="421" customFormat="1" x14ac:dyDescent="0.25">
      <c r="A111" s="588">
        <v>3</v>
      </c>
      <c r="B111" s="587" t="s">
        <v>777</v>
      </c>
      <c r="C111" s="599">
        <f t="shared" si="12"/>
        <v>5.7787495098081704E-2</v>
      </c>
      <c r="D111" s="599">
        <f t="shared" si="12"/>
        <v>6.3215743390883261E-2</v>
      </c>
      <c r="E111" s="599">
        <f t="shared" si="13"/>
        <v>5.4282482928015574E-3</v>
      </c>
    </row>
    <row r="112" spans="1:5" s="421" customFormat="1" x14ac:dyDescent="0.25">
      <c r="A112" s="588">
        <v>4</v>
      </c>
      <c r="B112" s="587" t="s">
        <v>115</v>
      </c>
      <c r="C112" s="599">
        <f t="shared" si="12"/>
        <v>5.7787495098081704E-2</v>
      </c>
      <c r="D112" s="599">
        <f t="shared" si="12"/>
        <v>6.3215743390883261E-2</v>
      </c>
      <c r="E112" s="599">
        <f t="shared" si="13"/>
        <v>5.4282482928015574E-3</v>
      </c>
    </row>
    <row r="113" spans="1:5" s="421" customFormat="1" x14ac:dyDescent="0.25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5">
      <c r="A114" s="588">
        <v>6</v>
      </c>
      <c r="B114" s="587" t="s">
        <v>424</v>
      </c>
      <c r="C114" s="599">
        <f t="shared" si="12"/>
        <v>2.22111801089095E-4</v>
      </c>
      <c r="D114" s="599">
        <f t="shared" si="12"/>
        <v>6.4255265634643153E-4</v>
      </c>
      <c r="E114" s="599">
        <f t="shared" si="13"/>
        <v>4.2044085525733653E-4</v>
      </c>
    </row>
    <row r="115" spans="1:5" s="421" customFormat="1" x14ac:dyDescent="0.25">
      <c r="A115" s="588">
        <v>7</v>
      </c>
      <c r="B115" s="587" t="s">
        <v>758</v>
      </c>
      <c r="C115" s="599">
        <f t="shared" si="12"/>
        <v>0</v>
      </c>
      <c r="D115" s="599">
        <f t="shared" si="12"/>
        <v>6.0609497893295151E-5</v>
      </c>
      <c r="E115" s="599">
        <f t="shared" si="13"/>
        <v>6.0609497893295151E-5</v>
      </c>
    </row>
    <row r="116" spans="1:5" s="421" customFormat="1" x14ac:dyDescent="0.25">
      <c r="A116" s="588"/>
      <c r="B116" s="592" t="s">
        <v>796</v>
      </c>
      <c r="C116" s="600">
        <f>SUM(C110+C111+C114)</f>
        <v>0.26939850751664057</v>
      </c>
      <c r="D116" s="600">
        <f>SUM(D110+D111+D114)</f>
        <v>0.24840398079562359</v>
      </c>
      <c r="E116" s="601">
        <f t="shared" si="13"/>
        <v>-2.0994526721016982E-2</v>
      </c>
    </row>
    <row r="117" spans="1:5" s="421" customFormat="1" x14ac:dyDescent="0.25">
      <c r="A117" s="588"/>
      <c r="B117" s="592" t="s">
        <v>797</v>
      </c>
      <c r="C117" s="600">
        <f>SUM(C109+C116)</f>
        <v>0.40442646388894565</v>
      </c>
      <c r="D117" s="600">
        <f>SUM(D109+D116)</f>
        <v>0.38602964351126701</v>
      </c>
      <c r="E117" s="601">
        <f t="shared" si="13"/>
        <v>-1.8396820377678647E-2</v>
      </c>
    </row>
    <row r="118" spans="1:5" s="421" customFormat="1" x14ac:dyDescent="0.25">
      <c r="A118" s="584"/>
      <c r="B118" s="586"/>
      <c r="C118" s="602"/>
      <c r="D118" s="602"/>
      <c r="E118" s="600"/>
    </row>
    <row r="119" spans="1:5" s="421" customFormat="1" x14ac:dyDescent="0.25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5">
      <c r="A120" s="584"/>
      <c r="B120" s="586"/>
      <c r="C120" s="602"/>
      <c r="D120" s="602"/>
      <c r="E120" s="600"/>
    </row>
    <row r="121" spans="1:5" s="421" customFormat="1" x14ac:dyDescent="0.25">
      <c r="A121" s="588">
        <v>1</v>
      </c>
      <c r="B121" s="587" t="s">
        <v>656</v>
      </c>
      <c r="C121" s="599">
        <f t="shared" ref="C121:D127" si="14">IF(C$77=0,0,C58/C$77)</f>
        <v>0.30963530659964084</v>
      </c>
      <c r="D121" s="599">
        <f t="shared" si="14"/>
        <v>0.3218380953637005</v>
      </c>
      <c r="E121" s="599">
        <f t="shared" ref="E121:E129" si="15">D121-C121</f>
        <v>1.2202788764059669E-2</v>
      </c>
    </row>
    <row r="122" spans="1:5" s="421" customFormat="1" x14ac:dyDescent="0.25">
      <c r="A122" s="588">
        <v>2</v>
      </c>
      <c r="B122" s="587" t="s">
        <v>635</v>
      </c>
      <c r="C122" s="599">
        <f t="shared" si="14"/>
        <v>0.18020523963302301</v>
      </c>
      <c r="D122" s="599">
        <f t="shared" si="14"/>
        <v>0.18863068034535976</v>
      </c>
      <c r="E122" s="599">
        <f t="shared" si="15"/>
        <v>8.4254407123367514E-3</v>
      </c>
    </row>
    <row r="123" spans="1:5" s="421" customFormat="1" x14ac:dyDescent="0.25">
      <c r="A123" s="588">
        <v>3</v>
      </c>
      <c r="B123" s="587" t="s">
        <v>777</v>
      </c>
      <c r="C123" s="599">
        <f t="shared" si="14"/>
        <v>0.10360326334163115</v>
      </c>
      <c r="D123" s="599">
        <f t="shared" si="14"/>
        <v>0.10320665560084055</v>
      </c>
      <c r="E123" s="599">
        <f t="shared" si="15"/>
        <v>-3.9660774079060268E-4</v>
      </c>
    </row>
    <row r="124" spans="1:5" s="421" customFormat="1" x14ac:dyDescent="0.25">
      <c r="A124" s="588">
        <v>4</v>
      </c>
      <c r="B124" s="587" t="s">
        <v>115</v>
      </c>
      <c r="C124" s="599">
        <f t="shared" si="14"/>
        <v>0.10360326334163115</v>
      </c>
      <c r="D124" s="599">
        <f t="shared" si="14"/>
        <v>0.10320665560084055</v>
      </c>
      <c r="E124" s="599">
        <f t="shared" si="15"/>
        <v>-3.9660774079060268E-4</v>
      </c>
    </row>
    <row r="125" spans="1:5" s="421" customFormat="1" x14ac:dyDescent="0.25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5">
      <c r="A126" s="588">
        <v>6</v>
      </c>
      <c r="B126" s="587" t="s">
        <v>424</v>
      </c>
      <c r="C126" s="599">
        <f t="shared" si="14"/>
        <v>2.1297265367593264E-3</v>
      </c>
      <c r="D126" s="599">
        <f t="shared" si="14"/>
        <v>2.9492517883213993E-4</v>
      </c>
      <c r="E126" s="599">
        <f t="shared" si="15"/>
        <v>-1.8348013579271864E-3</v>
      </c>
    </row>
    <row r="127" spans="1:5" s="421" customFormat="1" x14ac:dyDescent="0.25">
      <c r="A127" s="588">
        <v>7</v>
      </c>
      <c r="B127" s="587" t="s">
        <v>758</v>
      </c>
      <c r="C127" s="599">
        <f t="shared" si="14"/>
        <v>8.1426962031863842E-4</v>
      </c>
      <c r="D127" s="599">
        <f t="shared" si="14"/>
        <v>9.9873266734144405E-4</v>
      </c>
      <c r="E127" s="599">
        <f t="shared" si="15"/>
        <v>1.8446304702280562E-4</v>
      </c>
    </row>
    <row r="128" spans="1:5" s="421" customFormat="1" x14ac:dyDescent="0.25">
      <c r="A128" s="588"/>
      <c r="B128" s="592" t="s">
        <v>799</v>
      </c>
      <c r="C128" s="600">
        <f>SUM(C122+C123+C126)</f>
        <v>0.28593822951141346</v>
      </c>
      <c r="D128" s="600">
        <f>SUM(D122+D123+D126)</f>
        <v>0.29213226112503243</v>
      </c>
      <c r="E128" s="601">
        <f t="shared" si="15"/>
        <v>6.1940316136189777E-3</v>
      </c>
    </row>
    <row r="129" spans="1:5" s="421" customFormat="1" x14ac:dyDescent="0.25">
      <c r="A129" s="588"/>
      <c r="B129" s="592" t="s">
        <v>800</v>
      </c>
      <c r="C129" s="600">
        <f>SUM(C121+C128)</f>
        <v>0.59557353611105435</v>
      </c>
      <c r="D129" s="600">
        <f>SUM(D121+D128)</f>
        <v>0.61397035648873288</v>
      </c>
      <c r="E129" s="601">
        <f t="shared" si="15"/>
        <v>1.8396820377678536E-2</v>
      </c>
    </row>
    <row r="130" spans="1:5" s="421" customFormat="1" x14ac:dyDescent="0.25">
      <c r="A130" s="588"/>
      <c r="B130" s="592"/>
      <c r="C130" s="601"/>
      <c r="D130" s="599"/>
      <c r="E130" s="600"/>
    </row>
    <row r="131" spans="1:5" s="421" customFormat="1" x14ac:dyDescent="0.25">
      <c r="A131" s="588"/>
      <c r="B131" s="603" t="s">
        <v>804</v>
      </c>
      <c r="C131" s="601">
        <f>C117+C129</f>
        <v>1</v>
      </c>
      <c r="D131" s="601">
        <f>D117+D129</f>
        <v>0.99999999999999989</v>
      </c>
      <c r="E131" s="601">
        <f>D131-C131</f>
        <v>0</v>
      </c>
    </row>
    <row r="132" spans="1:5" s="421" customFormat="1" x14ac:dyDescent="0.25">
      <c r="A132" s="588"/>
      <c r="B132" s="587"/>
      <c r="C132" s="590"/>
      <c r="D132" s="590"/>
      <c r="E132" s="587"/>
    </row>
    <row r="133" spans="1:5" s="421" customFormat="1" ht="15.75" customHeight="1" x14ac:dyDescent="0.3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5">
      <c r="A134" s="588"/>
      <c r="B134" s="587"/>
      <c r="C134" s="425"/>
      <c r="D134" s="425"/>
      <c r="E134" s="587"/>
    </row>
    <row r="135" spans="1:5" s="421" customFormat="1" x14ac:dyDescent="0.25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5">
      <c r="A136" s="588"/>
      <c r="B136" s="587"/>
      <c r="C136" s="587"/>
      <c r="D136" s="587"/>
      <c r="E136" s="587"/>
    </row>
    <row r="137" spans="1:5" s="421" customFormat="1" x14ac:dyDescent="0.25">
      <c r="A137" s="588">
        <v>1</v>
      </c>
      <c r="B137" s="587" t="s">
        <v>656</v>
      </c>
      <c r="C137" s="606">
        <v>1833</v>
      </c>
      <c r="D137" s="606">
        <v>1820</v>
      </c>
      <c r="E137" s="607">
        <f t="shared" ref="E137:E145" si="16">D137-C137</f>
        <v>-13</v>
      </c>
    </row>
    <row r="138" spans="1:5" s="421" customFormat="1" x14ac:dyDescent="0.25">
      <c r="A138" s="588">
        <v>2</v>
      </c>
      <c r="B138" s="587" t="s">
        <v>635</v>
      </c>
      <c r="C138" s="606">
        <v>3380</v>
      </c>
      <c r="D138" s="606">
        <v>3148</v>
      </c>
      <c r="E138" s="607">
        <f t="shared" si="16"/>
        <v>-232</v>
      </c>
    </row>
    <row r="139" spans="1:5" s="421" customFormat="1" x14ac:dyDescent="0.25">
      <c r="A139" s="588">
        <v>3</v>
      </c>
      <c r="B139" s="587" t="s">
        <v>777</v>
      </c>
      <c r="C139" s="606">
        <f>C140+C141</f>
        <v>1840</v>
      </c>
      <c r="D139" s="606">
        <f>D140+D141</f>
        <v>1721</v>
      </c>
      <c r="E139" s="607">
        <f t="shared" si="16"/>
        <v>-119</v>
      </c>
    </row>
    <row r="140" spans="1:5" s="421" customFormat="1" x14ac:dyDescent="0.25">
      <c r="A140" s="588">
        <v>4</v>
      </c>
      <c r="B140" s="587" t="s">
        <v>115</v>
      </c>
      <c r="C140" s="606">
        <v>1840</v>
      </c>
      <c r="D140" s="606">
        <v>1721</v>
      </c>
      <c r="E140" s="607">
        <f t="shared" si="16"/>
        <v>-119</v>
      </c>
    </row>
    <row r="141" spans="1:5" s="421" customFormat="1" x14ac:dyDescent="0.25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5">
      <c r="A142" s="588">
        <v>6</v>
      </c>
      <c r="B142" s="587" t="s">
        <v>424</v>
      </c>
      <c r="C142" s="606">
        <v>18</v>
      </c>
      <c r="D142" s="606">
        <v>20</v>
      </c>
      <c r="E142" s="607">
        <f t="shared" si="16"/>
        <v>2</v>
      </c>
    </row>
    <row r="143" spans="1:5" s="421" customFormat="1" x14ac:dyDescent="0.25">
      <c r="A143" s="588">
        <v>7</v>
      </c>
      <c r="B143" s="587" t="s">
        <v>758</v>
      </c>
      <c r="C143" s="606">
        <v>102</v>
      </c>
      <c r="D143" s="606">
        <v>88</v>
      </c>
      <c r="E143" s="607">
        <f t="shared" si="16"/>
        <v>-14</v>
      </c>
    </row>
    <row r="144" spans="1:5" s="421" customFormat="1" x14ac:dyDescent="0.25">
      <c r="A144" s="588"/>
      <c r="B144" s="592" t="s">
        <v>807</v>
      </c>
      <c r="C144" s="608">
        <f>SUM(C138+C139+C142)</f>
        <v>5238</v>
      </c>
      <c r="D144" s="608">
        <f>SUM(D138+D139+D142)</f>
        <v>4889</v>
      </c>
      <c r="E144" s="609">
        <f t="shared" si="16"/>
        <v>-349</v>
      </c>
    </row>
    <row r="145" spans="1:5" s="421" customFormat="1" x14ac:dyDescent="0.25">
      <c r="A145" s="588"/>
      <c r="B145" s="592" t="s">
        <v>138</v>
      </c>
      <c r="C145" s="608">
        <f>SUM(C137+C144)</f>
        <v>7071</v>
      </c>
      <c r="D145" s="608">
        <f>SUM(D137+D144)</f>
        <v>6709</v>
      </c>
      <c r="E145" s="609">
        <f t="shared" si="16"/>
        <v>-362</v>
      </c>
    </row>
    <row r="146" spans="1:5" s="421" customFormat="1" x14ac:dyDescent="0.25">
      <c r="A146" s="588"/>
      <c r="B146" s="587"/>
      <c r="C146" s="610"/>
      <c r="D146" s="610"/>
      <c r="E146" s="587"/>
    </row>
    <row r="147" spans="1:5" s="421" customFormat="1" x14ac:dyDescent="0.25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5">
      <c r="A148" s="588"/>
      <c r="B148" s="587"/>
      <c r="C148" s="610"/>
      <c r="D148" s="610"/>
      <c r="E148" s="587"/>
    </row>
    <row r="149" spans="1:5" s="421" customFormat="1" x14ac:dyDescent="0.25">
      <c r="A149" s="588">
        <v>1</v>
      </c>
      <c r="B149" s="587" t="s">
        <v>656</v>
      </c>
      <c r="C149" s="610">
        <v>6026</v>
      </c>
      <c r="D149" s="610">
        <v>5505</v>
      </c>
      <c r="E149" s="607">
        <f t="shared" ref="E149:E157" si="17">D149-C149</f>
        <v>-521</v>
      </c>
    </row>
    <row r="150" spans="1:5" s="421" customFormat="1" x14ac:dyDescent="0.25">
      <c r="A150" s="588">
        <v>2</v>
      </c>
      <c r="B150" s="587" t="s">
        <v>635</v>
      </c>
      <c r="C150" s="610">
        <v>14869</v>
      </c>
      <c r="D150" s="610">
        <v>13640</v>
      </c>
      <c r="E150" s="607">
        <f t="shared" si="17"/>
        <v>-1229</v>
      </c>
    </row>
    <row r="151" spans="1:5" s="421" customFormat="1" x14ac:dyDescent="0.25">
      <c r="A151" s="588">
        <v>3</v>
      </c>
      <c r="B151" s="587" t="s">
        <v>777</v>
      </c>
      <c r="C151" s="610">
        <f>C152+C153</f>
        <v>7135</v>
      </c>
      <c r="D151" s="610">
        <f>D152+D153</f>
        <v>6501</v>
      </c>
      <c r="E151" s="607">
        <f t="shared" si="17"/>
        <v>-634</v>
      </c>
    </row>
    <row r="152" spans="1:5" s="421" customFormat="1" x14ac:dyDescent="0.25">
      <c r="A152" s="588">
        <v>4</v>
      </c>
      <c r="B152" s="587" t="s">
        <v>115</v>
      </c>
      <c r="C152" s="610">
        <v>7135</v>
      </c>
      <c r="D152" s="610">
        <v>6501</v>
      </c>
      <c r="E152" s="607">
        <f t="shared" si="17"/>
        <v>-634</v>
      </c>
    </row>
    <row r="153" spans="1:5" s="421" customFormat="1" x14ac:dyDescent="0.25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5">
      <c r="A154" s="588">
        <v>6</v>
      </c>
      <c r="B154" s="587" t="s">
        <v>424</v>
      </c>
      <c r="C154" s="610">
        <v>50</v>
      </c>
      <c r="D154" s="610">
        <v>47</v>
      </c>
      <c r="E154" s="607">
        <f t="shared" si="17"/>
        <v>-3</v>
      </c>
    </row>
    <row r="155" spans="1:5" s="421" customFormat="1" x14ac:dyDescent="0.25">
      <c r="A155" s="588">
        <v>7</v>
      </c>
      <c r="B155" s="587" t="s">
        <v>758</v>
      </c>
      <c r="C155" s="610">
        <v>360</v>
      </c>
      <c r="D155" s="610">
        <v>286</v>
      </c>
      <c r="E155" s="607">
        <f t="shared" si="17"/>
        <v>-74</v>
      </c>
    </row>
    <row r="156" spans="1:5" s="421" customFormat="1" x14ac:dyDescent="0.25">
      <c r="A156" s="588"/>
      <c r="B156" s="592" t="s">
        <v>808</v>
      </c>
      <c r="C156" s="608">
        <f>SUM(C150+C151+C154)</f>
        <v>22054</v>
      </c>
      <c r="D156" s="608">
        <f>SUM(D150+D151+D154)</f>
        <v>20188</v>
      </c>
      <c r="E156" s="609">
        <f t="shared" si="17"/>
        <v>-1866</v>
      </c>
    </row>
    <row r="157" spans="1:5" s="421" customFormat="1" x14ac:dyDescent="0.25">
      <c r="A157" s="588"/>
      <c r="B157" s="592" t="s">
        <v>140</v>
      </c>
      <c r="C157" s="608">
        <f>SUM(C149+C156)</f>
        <v>28080</v>
      </c>
      <c r="D157" s="608">
        <f>SUM(D149+D156)</f>
        <v>25693</v>
      </c>
      <c r="E157" s="609">
        <f t="shared" si="17"/>
        <v>-2387</v>
      </c>
    </row>
    <row r="158" spans="1:5" s="421" customFormat="1" x14ac:dyDescent="0.25">
      <c r="A158" s="588"/>
      <c r="B158" s="587"/>
      <c r="C158" s="610"/>
      <c r="D158" s="610"/>
      <c r="E158" s="587"/>
    </row>
    <row r="159" spans="1:5" s="421" customFormat="1" x14ac:dyDescent="0.25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5">
      <c r="A160" s="588"/>
      <c r="B160" s="587"/>
      <c r="C160" s="610"/>
      <c r="D160" s="610"/>
      <c r="E160" s="587"/>
    </row>
    <row r="161" spans="1:5" s="421" customFormat="1" x14ac:dyDescent="0.25">
      <c r="A161" s="588">
        <v>1</v>
      </c>
      <c r="B161" s="587" t="s">
        <v>656</v>
      </c>
      <c r="C161" s="612">
        <f t="shared" ref="C161:D169" si="18">IF(C137=0,0,C149/C137)</f>
        <v>3.2875068194217132</v>
      </c>
      <c r="D161" s="612">
        <f t="shared" si="18"/>
        <v>3.0247252747252746</v>
      </c>
      <c r="E161" s="613">
        <f t="shared" ref="E161:E169" si="19">D161-C161</f>
        <v>-0.26278154469643855</v>
      </c>
    </row>
    <row r="162" spans="1:5" s="421" customFormat="1" x14ac:dyDescent="0.25">
      <c r="A162" s="588">
        <v>2</v>
      </c>
      <c r="B162" s="587" t="s">
        <v>635</v>
      </c>
      <c r="C162" s="612">
        <f t="shared" si="18"/>
        <v>4.3991124260355026</v>
      </c>
      <c r="D162" s="612">
        <f t="shared" si="18"/>
        <v>4.3329097839898347</v>
      </c>
      <c r="E162" s="613">
        <f t="shared" si="19"/>
        <v>-6.6202642045667837E-2</v>
      </c>
    </row>
    <row r="163" spans="1:5" s="421" customFormat="1" x14ac:dyDescent="0.25">
      <c r="A163" s="588">
        <v>3</v>
      </c>
      <c r="B163" s="587" t="s">
        <v>777</v>
      </c>
      <c r="C163" s="612">
        <f t="shared" si="18"/>
        <v>3.8777173913043477</v>
      </c>
      <c r="D163" s="612">
        <f t="shared" si="18"/>
        <v>3.7774549680418361</v>
      </c>
      <c r="E163" s="613">
        <f t="shared" si="19"/>
        <v>-0.10026242326251156</v>
      </c>
    </row>
    <row r="164" spans="1:5" s="421" customFormat="1" x14ac:dyDescent="0.25">
      <c r="A164" s="588">
        <v>4</v>
      </c>
      <c r="B164" s="587" t="s">
        <v>115</v>
      </c>
      <c r="C164" s="612">
        <f t="shared" si="18"/>
        <v>3.8777173913043477</v>
      </c>
      <c r="D164" s="612">
        <f t="shared" si="18"/>
        <v>3.7774549680418361</v>
      </c>
      <c r="E164" s="613">
        <f t="shared" si="19"/>
        <v>-0.10026242326251156</v>
      </c>
    </row>
    <row r="165" spans="1:5" s="421" customFormat="1" x14ac:dyDescent="0.25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5">
      <c r="A166" s="588">
        <v>6</v>
      </c>
      <c r="B166" s="587" t="s">
        <v>424</v>
      </c>
      <c r="C166" s="612">
        <f t="shared" si="18"/>
        <v>2.7777777777777777</v>
      </c>
      <c r="D166" s="612">
        <f t="shared" si="18"/>
        <v>2.35</v>
      </c>
      <c r="E166" s="613">
        <f t="shared" si="19"/>
        <v>-0.42777777777777759</v>
      </c>
    </row>
    <row r="167" spans="1:5" s="421" customFormat="1" x14ac:dyDescent="0.25">
      <c r="A167" s="588">
        <v>7</v>
      </c>
      <c r="B167" s="587" t="s">
        <v>758</v>
      </c>
      <c r="C167" s="612">
        <f t="shared" si="18"/>
        <v>3.5294117647058822</v>
      </c>
      <c r="D167" s="612">
        <f t="shared" si="18"/>
        <v>3.25</v>
      </c>
      <c r="E167" s="613">
        <f t="shared" si="19"/>
        <v>-0.27941176470588225</v>
      </c>
    </row>
    <row r="168" spans="1:5" s="421" customFormat="1" x14ac:dyDescent="0.25">
      <c r="A168" s="588"/>
      <c r="B168" s="592" t="s">
        <v>810</v>
      </c>
      <c r="C168" s="614">
        <f t="shared" si="18"/>
        <v>4.2103856433753339</v>
      </c>
      <c r="D168" s="614">
        <f t="shared" si="18"/>
        <v>4.1292697893229695</v>
      </c>
      <c r="E168" s="615">
        <f t="shared" si="19"/>
        <v>-8.1115854052364433E-2</v>
      </c>
    </row>
    <row r="169" spans="1:5" s="421" customFormat="1" x14ac:dyDescent="0.25">
      <c r="A169" s="588"/>
      <c r="B169" s="592" t="s">
        <v>744</v>
      </c>
      <c r="C169" s="614">
        <f t="shared" si="18"/>
        <v>3.9711497666525246</v>
      </c>
      <c r="D169" s="614">
        <f t="shared" si="18"/>
        <v>3.8296318378297807</v>
      </c>
      <c r="E169" s="615">
        <f t="shared" si="19"/>
        <v>-0.14151792882274394</v>
      </c>
    </row>
    <row r="170" spans="1:5" s="421" customFormat="1" x14ac:dyDescent="0.25">
      <c r="A170" s="588"/>
      <c r="B170" s="587"/>
      <c r="C170" s="610"/>
      <c r="D170" s="610"/>
      <c r="E170" s="616"/>
    </row>
    <row r="171" spans="1:5" s="421" customFormat="1" x14ac:dyDescent="0.25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5">
      <c r="A172" s="588"/>
      <c r="B172" s="587"/>
      <c r="C172" s="587"/>
      <c r="D172" s="587"/>
      <c r="E172" s="616"/>
    </row>
    <row r="173" spans="1:5" s="421" customFormat="1" x14ac:dyDescent="0.25">
      <c r="A173" s="588">
        <v>1</v>
      </c>
      <c r="B173" s="587" t="s">
        <v>656</v>
      </c>
      <c r="C173" s="617">
        <f t="shared" ref="C173:D181" si="20">IF(C137=0,0,C203/C137)</f>
        <v>0.9930000000000001</v>
      </c>
      <c r="D173" s="617">
        <f t="shared" si="20"/>
        <v>1.1357999999999999</v>
      </c>
      <c r="E173" s="618">
        <f t="shared" ref="E173:E181" si="21">D173-C173</f>
        <v>0.14279999999999982</v>
      </c>
    </row>
    <row r="174" spans="1:5" s="421" customFormat="1" x14ac:dyDescent="0.25">
      <c r="A174" s="588">
        <v>2</v>
      </c>
      <c r="B174" s="587" t="s">
        <v>635</v>
      </c>
      <c r="C174" s="617">
        <f t="shared" si="20"/>
        <v>1.2740999999999998</v>
      </c>
      <c r="D174" s="617">
        <f t="shared" si="20"/>
        <v>1.4052</v>
      </c>
      <c r="E174" s="618">
        <f t="shared" si="21"/>
        <v>0.13110000000000022</v>
      </c>
    </row>
    <row r="175" spans="1:5" s="421" customFormat="1" x14ac:dyDescent="0.25">
      <c r="A175" s="588">
        <v>3</v>
      </c>
      <c r="B175" s="587" t="s">
        <v>777</v>
      </c>
      <c r="C175" s="617">
        <f t="shared" si="20"/>
        <v>0.93630000000000013</v>
      </c>
      <c r="D175" s="617">
        <f t="shared" si="20"/>
        <v>1.1167</v>
      </c>
      <c r="E175" s="618">
        <f t="shared" si="21"/>
        <v>0.18039999999999989</v>
      </c>
    </row>
    <row r="176" spans="1:5" s="421" customFormat="1" x14ac:dyDescent="0.25">
      <c r="A176" s="588">
        <v>4</v>
      </c>
      <c r="B176" s="587" t="s">
        <v>115</v>
      </c>
      <c r="C176" s="617">
        <f t="shared" si="20"/>
        <v>0.93630000000000013</v>
      </c>
      <c r="D176" s="617">
        <f t="shared" si="20"/>
        <v>1.1167</v>
      </c>
      <c r="E176" s="618">
        <f t="shared" si="21"/>
        <v>0.18039999999999989</v>
      </c>
    </row>
    <row r="177" spans="1:5" s="421" customFormat="1" x14ac:dyDescent="0.25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5">
      <c r="A178" s="588">
        <v>6</v>
      </c>
      <c r="B178" s="587" t="s">
        <v>424</v>
      </c>
      <c r="C178" s="617">
        <f t="shared" si="20"/>
        <v>0.62180000000000002</v>
      </c>
      <c r="D178" s="617">
        <f t="shared" si="20"/>
        <v>1.0768</v>
      </c>
      <c r="E178" s="618">
        <f t="shared" si="21"/>
        <v>0.45499999999999996</v>
      </c>
    </row>
    <row r="179" spans="1:5" s="421" customFormat="1" x14ac:dyDescent="0.25">
      <c r="A179" s="588">
        <v>7</v>
      </c>
      <c r="B179" s="587" t="s">
        <v>758</v>
      </c>
      <c r="C179" s="617">
        <f t="shared" si="20"/>
        <v>1.1252</v>
      </c>
      <c r="D179" s="617">
        <f t="shared" si="20"/>
        <v>1.2588999999999999</v>
      </c>
      <c r="E179" s="618">
        <f t="shared" si="21"/>
        <v>0.13369999999999993</v>
      </c>
    </row>
    <row r="180" spans="1:5" s="421" customFormat="1" x14ac:dyDescent="0.25">
      <c r="A180" s="588"/>
      <c r="B180" s="592" t="s">
        <v>812</v>
      </c>
      <c r="C180" s="619">
        <f t="shared" si="20"/>
        <v>1.1531963344788088</v>
      </c>
      <c r="D180" s="619">
        <f t="shared" si="20"/>
        <v>1.3023003272652893</v>
      </c>
      <c r="E180" s="620">
        <f t="shared" si="21"/>
        <v>0.14910399278648057</v>
      </c>
    </row>
    <row r="181" spans="1:5" s="421" customFormat="1" x14ac:dyDescent="0.25">
      <c r="A181" s="588"/>
      <c r="B181" s="592" t="s">
        <v>723</v>
      </c>
      <c r="C181" s="619">
        <f t="shared" si="20"/>
        <v>1.1116689859991515</v>
      </c>
      <c r="D181" s="619">
        <f t="shared" si="20"/>
        <v>1.2571325532866298</v>
      </c>
      <c r="E181" s="620">
        <f t="shared" si="21"/>
        <v>0.14546356728747822</v>
      </c>
    </row>
    <row r="182" spans="1:5" s="421" customFormat="1" x14ac:dyDescent="0.25">
      <c r="A182" s="584"/>
      <c r="B182" s="587"/>
      <c r="C182" s="621"/>
      <c r="D182" s="621"/>
      <c r="E182" s="587"/>
    </row>
    <row r="183" spans="1:5" s="421" customFormat="1" x14ac:dyDescent="0.25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5">
      <c r="A184" s="582"/>
      <c r="B184" s="587"/>
      <c r="C184" s="621"/>
      <c r="D184" s="621"/>
      <c r="E184" s="587"/>
    </row>
    <row r="185" spans="1:5" s="421" customFormat="1" x14ac:dyDescent="0.25">
      <c r="A185" s="588">
        <v>1</v>
      </c>
      <c r="B185" s="587" t="s">
        <v>814</v>
      </c>
      <c r="C185" s="589">
        <v>129119183</v>
      </c>
      <c r="D185" s="589">
        <v>139793488</v>
      </c>
      <c r="E185" s="590">
        <f>D185-C185</f>
        <v>10674305</v>
      </c>
    </row>
    <row r="186" spans="1:5" s="421" customFormat="1" ht="26.4" x14ac:dyDescent="0.25">
      <c r="A186" s="588">
        <v>2</v>
      </c>
      <c r="B186" s="587" t="s">
        <v>815</v>
      </c>
      <c r="C186" s="589">
        <v>65741313</v>
      </c>
      <c r="D186" s="589">
        <v>66387251</v>
      </c>
      <c r="E186" s="590">
        <f>D186-C186</f>
        <v>645938</v>
      </c>
    </row>
    <row r="187" spans="1:5" s="421" customFormat="1" x14ac:dyDescent="0.25">
      <c r="A187" s="588"/>
      <c r="B187" s="587" t="s">
        <v>668</v>
      </c>
      <c r="C187" s="586"/>
      <c r="D187" s="586"/>
      <c r="E187" s="587"/>
    </row>
    <row r="188" spans="1:5" s="421" customFormat="1" x14ac:dyDescent="0.25">
      <c r="A188" s="588">
        <v>3</v>
      </c>
      <c r="B188" s="587" t="s">
        <v>747</v>
      </c>
      <c r="C188" s="622">
        <f>+C185-C186</f>
        <v>63377870</v>
      </c>
      <c r="D188" s="622">
        <f>+D185-D186</f>
        <v>73406237</v>
      </c>
      <c r="E188" s="590">
        <f t="shared" ref="E188:E197" si="22">D188-C188</f>
        <v>10028367</v>
      </c>
    </row>
    <row r="189" spans="1:5" s="421" customFormat="1" x14ac:dyDescent="0.25">
      <c r="A189" s="588">
        <v>4</v>
      </c>
      <c r="B189" s="587" t="s">
        <v>670</v>
      </c>
      <c r="C189" s="623">
        <f>IF(C185=0,0,+C188/C185)</f>
        <v>0.49084782390545328</v>
      </c>
      <c r="D189" s="623">
        <f>IF(D185=0,0,+D188/D185)</f>
        <v>0.52510483893212534</v>
      </c>
      <c r="E189" s="599">
        <f t="shared" si="22"/>
        <v>3.4257015026672055E-2</v>
      </c>
    </row>
    <row r="190" spans="1:5" s="421" customFormat="1" x14ac:dyDescent="0.25">
      <c r="A190" s="588">
        <v>5</v>
      </c>
      <c r="B190" s="587" t="s">
        <v>762</v>
      </c>
      <c r="C190" s="589">
        <v>9490766</v>
      </c>
      <c r="D190" s="589">
        <v>7264245</v>
      </c>
      <c r="E190" s="622">
        <f t="shared" si="22"/>
        <v>-2226521</v>
      </c>
    </row>
    <row r="191" spans="1:5" s="421" customFormat="1" x14ac:dyDescent="0.25">
      <c r="A191" s="588">
        <v>6</v>
      </c>
      <c r="B191" s="587" t="s">
        <v>748</v>
      </c>
      <c r="C191" s="589">
        <v>8040766</v>
      </c>
      <c r="D191" s="589">
        <v>5814245</v>
      </c>
      <c r="E191" s="622">
        <f t="shared" si="22"/>
        <v>-2226521</v>
      </c>
    </row>
    <row r="192" spans="1:5" ht="27.6" x14ac:dyDescent="0.25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5">
      <c r="A193" s="588">
        <v>8</v>
      </c>
      <c r="B193" s="587" t="s">
        <v>817</v>
      </c>
      <c r="C193" s="589">
        <v>4092111</v>
      </c>
      <c r="D193" s="589">
        <v>4120176</v>
      </c>
      <c r="E193" s="622">
        <f t="shared" si="22"/>
        <v>28065</v>
      </c>
    </row>
    <row r="194" spans="1:5" s="421" customFormat="1" x14ac:dyDescent="0.25">
      <c r="A194" s="588">
        <v>9</v>
      </c>
      <c r="B194" s="587" t="s">
        <v>818</v>
      </c>
      <c r="C194" s="589">
        <v>2212274</v>
      </c>
      <c r="D194" s="589">
        <v>2209664</v>
      </c>
      <c r="E194" s="622">
        <f t="shared" si="22"/>
        <v>-2610</v>
      </c>
    </row>
    <row r="195" spans="1:5" s="421" customFormat="1" x14ac:dyDescent="0.25">
      <c r="A195" s="588">
        <v>10</v>
      </c>
      <c r="B195" s="587" t="s">
        <v>819</v>
      </c>
      <c r="C195" s="589">
        <f>+C193+C194</f>
        <v>6304385</v>
      </c>
      <c r="D195" s="589">
        <f>+D193+D194</f>
        <v>6329840</v>
      </c>
      <c r="E195" s="625">
        <f t="shared" si="22"/>
        <v>25455</v>
      </c>
    </row>
    <row r="196" spans="1:5" s="421" customFormat="1" x14ac:dyDescent="0.25">
      <c r="A196" s="588">
        <v>11</v>
      </c>
      <c r="B196" s="587" t="s">
        <v>820</v>
      </c>
      <c r="C196" s="589">
        <v>3838007</v>
      </c>
      <c r="D196" s="589">
        <v>3643010</v>
      </c>
      <c r="E196" s="622">
        <f t="shared" si="22"/>
        <v>-194997</v>
      </c>
    </row>
    <row r="197" spans="1:5" s="421" customFormat="1" x14ac:dyDescent="0.25">
      <c r="A197" s="588">
        <v>12</v>
      </c>
      <c r="B197" s="587" t="s">
        <v>710</v>
      </c>
      <c r="C197" s="589">
        <v>136633273</v>
      </c>
      <c r="D197" s="589">
        <v>140143704</v>
      </c>
      <c r="E197" s="622">
        <f t="shared" si="22"/>
        <v>3510431</v>
      </c>
    </row>
    <row r="198" spans="1:5" s="421" customFormat="1" x14ac:dyDescent="0.25">
      <c r="A198" s="588"/>
      <c r="B198" s="587"/>
      <c r="C198" s="589"/>
      <c r="D198" s="589"/>
      <c r="E198" s="586"/>
    </row>
    <row r="199" spans="1:5" s="421" customFormat="1" ht="15.75" customHeight="1" x14ac:dyDescent="0.3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5">
      <c r="A200" s="584"/>
      <c r="B200" s="627"/>
      <c r="C200" s="586"/>
      <c r="D200" s="586"/>
      <c r="E200" s="586"/>
    </row>
    <row r="201" spans="1:5" s="421" customFormat="1" x14ac:dyDescent="0.25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5">
      <c r="B202" s="628"/>
      <c r="C202" s="586"/>
      <c r="D202" s="586"/>
      <c r="E202" s="586"/>
    </row>
    <row r="203" spans="1:5" s="421" customFormat="1" x14ac:dyDescent="0.25">
      <c r="A203" s="588">
        <v>1</v>
      </c>
      <c r="B203" s="587" t="s">
        <v>656</v>
      </c>
      <c r="C203" s="629">
        <v>1820.1690000000001</v>
      </c>
      <c r="D203" s="629">
        <v>2067.1559999999999</v>
      </c>
      <c r="E203" s="630">
        <f t="shared" ref="E203:E211" si="23">D203-C203</f>
        <v>246.98699999999985</v>
      </c>
    </row>
    <row r="204" spans="1:5" s="421" customFormat="1" x14ac:dyDescent="0.25">
      <c r="A204" s="588">
        <v>2</v>
      </c>
      <c r="B204" s="587" t="s">
        <v>635</v>
      </c>
      <c r="C204" s="629">
        <v>4306.4579999999996</v>
      </c>
      <c r="D204" s="629">
        <v>4423.5695999999998</v>
      </c>
      <c r="E204" s="630">
        <f t="shared" si="23"/>
        <v>117.11160000000018</v>
      </c>
    </row>
    <row r="205" spans="1:5" s="421" customFormat="1" x14ac:dyDescent="0.25">
      <c r="A205" s="588">
        <v>3</v>
      </c>
      <c r="B205" s="587" t="s">
        <v>777</v>
      </c>
      <c r="C205" s="629">
        <f>C206+C207</f>
        <v>1722.7920000000001</v>
      </c>
      <c r="D205" s="629">
        <f>D206+D207</f>
        <v>1921.8407</v>
      </c>
      <c r="E205" s="630">
        <f t="shared" si="23"/>
        <v>199.04869999999983</v>
      </c>
    </row>
    <row r="206" spans="1:5" s="421" customFormat="1" x14ac:dyDescent="0.25">
      <c r="A206" s="588">
        <v>4</v>
      </c>
      <c r="B206" s="587" t="s">
        <v>115</v>
      </c>
      <c r="C206" s="629">
        <v>1722.7920000000001</v>
      </c>
      <c r="D206" s="629">
        <v>1921.8407</v>
      </c>
      <c r="E206" s="630">
        <f t="shared" si="23"/>
        <v>199.04869999999983</v>
      </c>
    </row>
    <row r="207" spans="1:5" s="421" customFormat="1" x14ac:dyDescent="0.25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5">
      <c r="A208" s="588">
        <v>6</v>
      </c>
      <c r="B208" s="587" t="s">
        <v>424</v>
      </c>
      <c r="C208" s="629">
        <v>11.192400000000001</v>
      </c>
      <c r="D208" s="629">
        <v>21.536000000000001</v>
      </c>
      <c r="E208" s="630">
        <f t="shared" si="23"/>
        <v>10.3436</v>
      </c>
    </row>
    <row r="209" spans="1:5" s="421" customFormat="1" x14ac:dyDescent="0.25">
      <c r="A209" s="588">
        <v>7</v>
      </c>
      <c r="B209" s="587" t="s">
        <v>758</v>
      </c>
      <c r="C209" s="629">
        <v>114.7704</v>
      </c>
      <c r="D209" s="629">
        <v>110.78319999999999</v>
      </c>
      <c r="E209" s="630">
        <f t="shared" si="23"/>
        <v>-3.9872000000000014</v>
      </c>
    </row>
    <row r="210" spans="1:5" s="421" customFormat="1" x14ac:dyDescent="0.25">
      <c r="A210" s="588"/>
      <c r="B210" s="592" t="s">
        <v>823</v>
      </c>
      <c r="C210" s="631">
        <f>C204+C205+C208</f>
        <v>6040.4423999999999</v>
      </c>
      <c r="D210" s="631">
        <f>D204+D205+D208</f>
        <v>6366.9462999999996</v>
      </c>
      <c r="E210" s="632">
        <f t="shared" si="23"/>
        <v>326.5038999999997</v>
      </c>
    </row>
    <row r="211" spans="1:5" s="421" customFormat="1" x14ac:dyDescent="0.25">
      <c r="A211" s="588"/>
      <c r="B211" s="592" t="s">
        <v>724</v>
      </c>
      <c r="C211" s="631">
        <f>C210+C203</f>
        <v>7860.6113999999998</v>
      </c>
      <c r="D211" s="631">
        <f>D210+D203</f>
        <v>8434.1022999999986</v>
      </c>
      <c r="E211" s="632">
        <f t="shared" si="23"/>
        <v>573.49089999999887</v>
      </c>
    </row>
    <row r="212" spans="1:5" s="421" customFormat="1" x14ac:dyDescent="0.25">
      <c r="A212" s="588"/>
      <c r="B212" s="627"/>
      <c r="C212" s="586"/>
      <c r="D212" s="586"/>
      <c r="E212" s="631"/>
    </row>
    <row r="213" spans="1:5" s="421" customFormat="1" x14ac:dyDescent="0.25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5">
      <c r="A214" s="582"/>
      <c r="B214" s="627"/>
      <c r="C214" s="586"/>
      <c r="D214" s="586"/>
      <c r="E214" s="586"/>
    </row>
    <row r="215" spans="1:5" s="421" customFormat="1" x14ac:dyDescent="0.25">
      <c r="A215" s="588">
        <v>1</v>
      </c>
      <c r="B215" s="587" t="s">
        <v>656</v>
      </c>
      <c r="C215" s="633">
        <f>IF(C14*C137=0,0,C25/C14*C137)</f>
        <v>5524.7254116749127</v>
      </c>
      <c r="D215" s="633">
        <f>IF(D14*D137=0,0,D25/D14*D137)</f>
        <v>5456.5904718446282</v>
      </c>
      <c r="E215" s="633">
        <f t="shared" ref="E215:E223" si="24">D215-C215</f>
        <v>-68.134939830284566</v>
      </c>
    </row>
    <row r="216" spans="1:5" s="421" customFormat="1" x14ac:dyDescent="0.25">
      <c r="A216" s="588">
        <v>2</v>
      </c>
      <c r="B216" s="587" t="s">
        <v>635</v>
      </c>
      <c r="C216" s="633">
        <f>IF(C15*C138=0,0,C26/C15*C138)</f>
        <v>4424.0423794310909</v>
      </c>
      <c r="D216" s="633">
        <f>IF(D15*D138=0,0,D26/D15*D138)</f>
        <v>4887.3546038891254</v>
      </c>
      <c r="E216" s="633">
        <f t="shared" si="24"/>
        <v>463.31222445803451</v>
      </c>
    </row>
    <row r="217" spans="1:5" s="421" customFormat="1" x14ac:dyDescent="0.25">
      <c r="A217" s="588">
        <v>3</v>
      </c>
      <c r="B217" s="587" t="s">
        <v>777</v>
      </c>
      <c r="C217" s="633">
        <f>C218+C219</f>
        <v>3633.3178567239183</v>
      </c>
      <c r="D217" s="633">
        <f>D218+D219</f>
        <v>3431.6797068825713</v>
      </c>
      <c r="E217" s="633">
        <f t="shared" si="24"/>
        <v>-201.63814984134706</v>
      </c>
    </row>
    <row r="218" spans="1:5" s="421" customFormat="1" x14ac:dyDescent="0.25">
      <c r="A218" s="588">
        <v>4</v>
      </c>
      <c r="B218" s="587" t="s">
        <v>115</v>
      </c>
      <c r="C218" s="633">
        <f t="shared" ref="C218:D221" si="25">IF(C17*C140=0,0,C28/C17*C140)</f>
        <v>3633.3178567239183</v>
      </c>
      <c r="D218" s="633">
        <f t="shared" si="25"/>
        <v>3431.6797068825713</v>
      </c>
      <c r="E218" s="633">
        <f t="shared" si="24"/>
        <v>-201.63814984134706</v>
      </c>
    </row>
    <row r="219" spans="1:5" s="421" customFormat="1" x14ac:dyDescent="0.25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5">
      <c r="A220" s="588">
        <v>6</v>
      </c>
      <c r="B220" s="587" t="s">
        <v>424</v>
      </c>
      <c r="C220" s="633">
        <f t="shared" si="25"/>
        <v>103.17540433778042</v>
      </c>
      <c r="D220" s="633">
        <f t="shared" si="25"/>
        <v>38.13549708523712</v>
      </c>
      <c r="E220" s="633">
        <f t="shared" si="24"/>
        <v>-65.039907252543301</v>
      </c>
    </row>
    <row r="221" spans="1:5" s="421" customFormat="1" x14ac:dyDescent="0.25">
      <c r="A221" s="588">
        <v>7</v>
      </c>
      <c r="B221" s="587" t="s">
        <v>758</v>
      </c>
      <c r="C221" s="633">
        <f t="shared" si="25"/>
        <v>382.65006392137343</v>
      </c>
      <c r="D221" s="633">
        <f t="shared" si="25"/>
        <v>288.38707932652221</v>
      </c>
      <c r="E221" s="633">
        <f t="shared" si="24"/>
        <v>-94.262984594851218</v>
      </c>
    </row>
    <row r="222" spans="1:5" s="421" customFormat="1" x14ac:dyDescent="0.25">
      <c r="A222" s="588"/>
      <c r="B222" s="592" t="s">
        <v>825</v>
      </c>
      <c r="C222" s="634">
        <f>C216+C218+C219+C220</f>
        <v>8160.5356404927898</v>
      </c>
      <c r="D222" s="634">
        <f>D216+D218+D219+D220</f>
        <v>8357.1698078569334</v>
      </c>
      <c r="E222" s="634">
        <f t="shared" si="24"/>
        <v>196.63416736414365</v>
      </c>
    </row>
    <row r="223" spans="1:5" s="421" customFormat="1" x14ac:dyDescent="0.25">
      <c r="A223" s="588"/>
      <c r="B223" s="592" t="s">
        <v>826</v>
      </c>
      <c r="C223" s="634">
        <f>C215+C222</f>
        <v>13685.261052167702</v>
      </c>
      <c r="D223" s="634">
        <f>D215+D222</f>
        <v>13813.760279701561</v>
      </c>
      <c r="E223" s="634">
        <f t="shared" si="24"/>
        <v>128.49922753385908</v>
      </c>
    </row>
    <row r="224" spans="1:5" s="421" customFormat="1" x14ac:dyDescent="0.25">
      <c r="A224" s="582"/>
      <c r="B224" s="627"/>
      <c r="C224" s="586"/>
      <c r="D224" s="586"/>
      <c r="E224" s="635"/>
    </row>
    <row r="225" spans="1:5" s="421" customFormat="1" x14ac:dyDescent="0.25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5">
      <c r="A226" s="582"/>
      <c r="B226" s="627"/>
      <c r="C226" s="586"/>
      <c r="D226" s="586"/>
      <c r="E226" s="635"/>
    </row>
    <row r="227" spans="1:5" s="421" customFormat="1" x14ac:dyDescent="0.25">
      <c r="A227" s="588">
        <v>1</v>
      </c>
      <c r="B227" s="587" t="s">
        <v>656</v>
      </c>
      <c r="C227" s="636">
        <f t="shared" ref="C227:D235" si="26">IF(C203=0,0,C47/C203)</f>
        <v>9868.8929434574475</v>
      </c>
      <c r="D227" s="636">
        <f t="shared" si="26"/>
        <v>8975.5422425786928</v>
      </c>
      <c r="E227" s="636">
        <f t="shared" ref="E227:E235" si="27">D227-C227</f>
        <v>-893.35070087875465</v>
      </c>
    </row>
    <row r="228" spans="1:5" s="421" customFormat="1" x14ac:dyDescent="0.25">
      <c r="A228" s="588">
        <v>2</v>
      </c>
      <c r="B228" s="587" t="s">
        <v>635</v>
      </c>
      <c r="C228" s="636">
        <f t="shared" si="26"/>
        <v>6530.0787793588142</v>
      </c>
      <c r="D228" s="636">
        <f t="shared" si="26"/>
        <v>5624.2621343631627</v>
      </c>
      <c r="E228" s="636">
        <f t="shared" si="27"/>
        <v>-905.81664499565159</v>
      </c>
    </row>
    <row r="229" spans="1:5" s="421" customFormat="1" x14ac:dyDescent="0.25">
      <c r="A229" s="588">
        <v>3</v>
      </c>
      <c r="B229" s="587" t="s">
        <v>777</v>
      </c>
      <c r="C229" s="636">
        <f t="shared" si="26"/>
        <v>4462.2867995672141</v>
      </c>
      <c r="D229" s="636">
        <f t="shared" si="26"/>
        <v>4434.4768013290595</v>
      </c>
      <c r="E229" s="636">
        <f t="shared" si="27"/>
        <v>-27.809998238154549</v>
      </c>
    </row>
    <row r="230" spans="1:5" s="421" customFormat="1" x14ac:dyDescent="0.25">
      <c r="A230" s="588">
        <v>4</v>
      </c>
      <c r="B230" s="587" t="s">
        <v>115</v>
      </c>
      <c r="C230" s="636">
        <f t="shared" si="26"/>
        <v>4462.2867995672141</v>
      </c>
      <c r="D230" s="636">
        <f t="shared" si="26"/>
        <v>4434.4768013290595</v>
      </c>
      <c r="E230" s="636">
        <f t="shared" si="27"/>
        <v>-27.809998238154549</v>
      </c>
    </row>
    <row r="231" spans="1:5" s="421" customFormat="1" x14ac:dyDescent="0.25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5">
      <c r="A232" s="588">
        <v>6</v>
      </c>
      <c r="B232" s="587" t="s">
        <v>424</v>
      </c>
      <c r="C232" s="636">
        <f t="shared" si="26"/>
        <v>2640.0057181658981</v>
      </c>
      <c r="D232" s="636">
        <f t="shared" si="26"/>
        <v>4022.3346953937589</v>
      </c>
      <c r="E232" s="636">
        <f t="shared" si="27"/>
        <v>1382.3289772278608</v>
      </c>
    </row>
    <row r="233" spans="1:5" s="421" customFormat="1" x14ac:dyDescent="0.25">
      <c r="A233" s="588">
        <v>7</v>
      </c>
      <c r="B233" s="587" t="s">
        <v>758</v>
      </c>
      <c r="C233" s="636">
        <f t="shared" si="26"/>
        <v>0</v>
      </c>
      <c r="D233" s="636">
        <f t="shared" si="26"/>
        <v>73.756670686530086</v>
      </c>
      <c r="E233" s="636">
        <f t="shared" si="27"/>
        <v>73.756670686530086</v>
      </c>
    </row>
    <row r="234" spans="1:5" x14ac:dyDescent="0.25">
      <c r="A234" s="588"/>
      <c r="B234" s="592" t="s">
        <v>828</v>
      </c>
      <c r="C234" s="637">
        <f t="shared" si="26"/>
        <v>5933.1167531702649</v>
      </c>
      <c r="D234" s="637">
        <f t="shared" si="26"/>
        <v>5259.7110800196324</v>
      </c>
      <c r="E234" s="637">
        <f t="shared" si="27"/>
        <v>-673.40567315063254</v>
      </c>
    </row>
    <row r="235" spans="1:5" s="421" customFormat="1" x14ac:dyDescent="0.25">
      <c r="A235" s="588"/>
      <c r="B235" s="592" t="s">
        <v>829</v>
      </c>
      <c r="C235" s="637">
        <f t="shared" si="26"/>
        <v>6844.4679761169727</v>
      </c>
      <c r="D235" s="637">
        <f t="shared" si="26"/>
        <v>6170.442585217399</v>
      </c>
      <c r="E235" s="637">
        <f t="shared" si="27"/>
        <v>-674.02539089957372</v>
      </c>
    </row>
    <row r="236" spans="1:5" s="421" customFormat="1" x14ac:dyDescent="0.25">
      <c r="A236" s="582"/>
      <c r="B236" s="627"/>
      <c r="C236" s="586"/>
      <c r="D236" s="586"/>
      <c r="E236" s="637"/>
    </row>
    <row r="237" spans="1:5" s="421" customFormat="1" x14ac:dyDescent="0.25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5">
      <c r="A238" s="582"/>
      <c r="B238" s="595"/>
      <c r="C238" s="596"/>
      <c r="D238" s="596"/>
      <c r="E238" s="596"/>
    </row>
    <row r="239" spans="1:5" s="421" customFormat="1" x14ac:dyDescent="0.25">
      <c r="A239" s="588">
        <v>1</v>
      </c>
      <c r="B239" s="587" t="s">
        <v>656</v>
      </c>
      <c r="C239" s="636">
        <f t="shared" ref="C239:D247" si="28">IF(C215=0,0,C58/C215)</f>
        <v>7455.8340787315492</v>
      </c>
      <c r="D239" s="636">
        <f t="shared" si="28"/>
        <v>7951.5283809327893</v>
      </c>
      <c r="E239" s="638">
        <f t="shared" ref="E239:E247" si="29">D239-C239</f>
        <v>495.69430220124013</v>
      </c>
    </row>
    <row r="240" spans="1:5" s="421" customFormat="1" x14ac:dyDescent="0.25">
      <c r="A240" s="588">
        <v>2</v>
      </c>
      <c r="B240" s="587" t="s">
        <v>635</v>
      </c>
      <c r="C240" s="636">
        <f t="shared" si="28"/>
        <v>5418.8183439334089</v>
      </c>
      <c r="D240" s="636">
        <f t="shared" si="28"/>
        <v>5203.2297758308732</v>
      </c>
      <c r="E240" s="638">
        <f t="shared" si="29"/>
        <v>-215.58856810253565</v>
      </c>
    </row>
    <row r="241" spans="1:5" x14ac:dyDescent="0.25">
      <c r="A241" s="588">
        <v>3</v>
      </c>
      <c r="B241" s="587" t="s">
        <v>777</v>
      </c>
      <c r="C241" s="636">
        <f t="shared" si="28"/>
        <v>3793.3812959671595</v>
      </c>
      <c r="D241" s="636">
        <f t="shared" si="28"/>
        <v>4054.4829903836107</v>
      </c>
      <c r="E241" s="638">
        <f t="shared" si="29"/>
        <v>261.10169441645121</v>
      </c>
    </row>
    <row r="242" spans="1:5" x14ac:dyDescent="0.25">
      <c r="A242" s="588">
        <v>4</v>
      </c>
      <c r="B242" s="587" t="s">
        <v>115</v>
      </c>
      <c r="C242" s="636">
        <f t="shared" si="28"/>
        <v>3793.3812959671595</v>
      </c>
      <c r="D242" s="636">
        <f t="shared" si="28"/>
        <v>4054.4829903836107</v>
      </c>
      <c r="E242" s="638">
        <f t="shared" si="29"/>
        <v>261.10169441645121</v>
      </c>
    </row>
    <row r="243" spans="1:5" x14ac:dyDescent="0.25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5">
      <c r="A244" s="588">
        <v>6</v>
      </c>
      <c r="B244" s="587" t="s">
        <v>424</v>
      </c>
      <c r="C244" s="636">
        <f t="shared" si="28"/>
        <v>2746.0226768043217</v>
      </c>
      <c r="D244" s="636">
        <f t="shared" si="28"/>
        <v>1042.5981838162993</v>
      </c>
      <c r="E244" s="638">
        <f t="shared" si="29"/>
        <v>-1703.4244929880224</v>
      </c>
    </row>
    <row r="245" spans="1:5" x14ac:dyDescent="0.25">
      <c r="A245" s="588">
        <v>7</v>
      </c>
      <c r="B245" s="587" t="s">
        <v>758</v>
      </c>
      <c r="C245" s="636">
        <f t="shared" si="28"/>
        <v>283.08893742209938</v>
      </c>
      <c r="D245" s="636">
        <f t="shared" si="28"/>
        <v>466.88291415286454</v>
      </c>
      <c r="E245" s="638">
        <f t="shared" si="29"/>
        <v>183.79397673076517</v>
      </c>
    </row>
    <row r="246" spans="1:5" ht="26.4" x14ac:dyDescent="0.25">
      <c r="A246" s="588"/>
      <c r="B246" s="592" t="s">
        <v>831</v>
      </c>
      <c r="C246" s="637">
        <f t="shared" si="28"/>
        <v>4661.331764945633</v>
      </c>
      <c r="D246" s="637">
        <f t="shared" si="28"/>
        <v>4712.53748643158</v>
      </c>
      <c r="E246" s="639">
        <f t="shared" si="29"/>
        <v>51.205721485946924</v>
      </c>
    </row>
    <row r="247" spans="1:5" x14ac:dyDescent="0.25">
      <c r="A247" s="588"/>
      <c r="B247" s="592" t="s">
        <v>832</v>
      </c>
      <c r="C247" s="637">
        <f t="shared" si="28"/>
        <v>5789.4693932382206</v>
      </c>
      <c r="D247" s="637">
        <f t="shared" si="28"/>
        <v>5991.9752713262114</v>
      </c>
      <c r="E247" s="639">
        <f t="shared" si="29"/>
        <v>202.50587808799082</v>
      </c>
    </row>
    <row r="248" spans="1:5" x14ac:dyDescent="0.25">
      <c r="A248" s="582"/>
      <c r="B248" s="595"/>
      <c r="C248" s="636"/>
      <c r="D248" s="636"/>
      <c r="E248" s="639"/>
    </row>
    <row r="249" spans="1:5" s="421" customFormat="1" ht="15.75" customHeight="1" x14ac:dyDescent="0.3">
      <c r="A249" s="605" t="s">
        <v>760</v>
      </c>
      <c r="B249" s="626" t="s">
        <v>757</v>
      </c>
      <c r="C249" s="596"/>
      <c r="D249" s="596"/>
      <c r="E249" s="637"/>
    </row>
    <row r="250" spans="1:5" x14ac:dyDescent="0.25">
      <c r="A250" s="582"/>
      <c r="B250" s="595"/>
      <c r="C250" s="636"/>
      <c r="D250" s="636"/>
      <c r="E250" s="637"/>
    </row>
    <row r="251" spans="1:5" x14ac:dyDescent="0.25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5905729.4513563858</v>
      </c>
      <c r="D251" s="622">
        <f>((IF((IF(D15=0,0,D26/D15)*D138)=0,0,D59/(IF(D15=0,0,D26/D15)*D138)))-(IF((IF(D17=0,0,D28/D17)*D140)=0,0,D61/(IF(D17=0,0,D28/D17)*D140))))*(IF(D17=0,0,D28/D17)*D140)</f>
        <v>3942131.0319659575</v>
      </c>
      <c r="E251" s="622">
        <f>D251-C251</f>
        <v>-1963598.4193904283</v>
      </c>
    </row>
    <row r="252" spans="1:5" x14ac:dyDescent="0.25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5">
      <c r="A253" s="588">
        <v>3</v>
      </c>
      <c r="B253" s="587" t="s">
        <v>758</v>
      </c>
      <c r="C253" s="622">
        <f>IF(C233=0,0,(C228-C233)*C209+IF(C221=0,0,(C240-C245)*C221))</f>
        <v>0</v>
      </c>
      <c r="D253" s="622">
        <f>IF(D233=0,0,(D228-D233)*D209+IF(D221=0,0,(D240-D245)*D221))</f>
        <v>1980803.9950002413</v>
      </c>
      <c r="E253" s="622">
        <f>D253-C253</f>
        <v>1980803.9950002413</v>
      </c>
    </row>
    <row r="254" spans="1:5" ht="15" customHeight="1" x14ac:dyDescent="0.25">
      <c r="A254" s="588"/>
      <c r="B254" s="592" t="s">
        <v>759</v>
      </c>
      <c r="C254" s="640">
        <f>+C251+C252+C253</f>
        <v>5905729.4513563858</v>
      </c>
      <c r="D254" s="640">
        <f>+D251+D252+D253</f>
        <v>5922935.0269661993</v>
      </c>
      <c r="E254" s="640">
        <f>D254-C254</f>
        <v>17205.575609813444</v>
      </c>
    </row>
    <row r="255" spans="1:5" x14ac:dyDescent="0.25">
      <c r="A255" s="580"/>
      <c r="B255" s="595"/>
      <c r="C255" s="596"/>
      <c r="D255" s="596"/>
      <c r="E255" s="640"/>
    </row>
    <row r="256" spans="1:5" ht="15.75" customHeight="1" x14ac:dyDescent="0.3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5">
      <c r="A258" s="588">
        <v>1</v>
      </c>
      <c r="B258" s="587" t="s">
        <v>725</v>
      </c>
      <c r="C258" s="622">
        <f>+C44</f>
        <v>444108650</v>
      </c>
      <c r="D258" s="625">
        <f>+D44</f>
        <v>469389961</v>
      </c>
      <c r="E258" s="622">
        <f t="shared" ref="E258:E271" si="30">D258-C258</f>
        <v>25281311</v>
      </c>
    </row>
    <row r="259" spans="1:5" x14ac:dyDescent="0.25">
      <c r="A259" s="588">
        <v>2</v>
      </c>
      <c r="B259" s="587" t="s">
        <v>742</v>
      </c>
      <c r="C259" s="622">
        <f>+(C43-C76)</f>
        <v>230999072</v>
      </c>
      <c r="D259" s="625">
        <f>+(D43-D76)</f>
        <v>245272211</v>
      </c>
      <c r="E259" s="622">
        <f t="shared" si="30"/>
        <v>14273139</v>
      </c>
    </row>
    <row r="260" spans="1:5" x14ac:dyDescent="0.25">
      <c r="A260" s="588">
        <v>3</v>
      </c>
      <c r="B260" s="587" t="s">
        <v>746</v>
      </c>
      <c r="C260" s="622">
        <f>C195</f>
        <v>6304385</v>
      </c>
      <c r="D260" s="622">
        <f>D195</f>
        <v>6329840</v>
      </c>
      <c r="E260" s="622">
        <f t="shared" si="30"/>
        <v>25455</v>
      </c>
    </row>
    <row r="261" spans="1:5" x14ac:dyDescent="0.25">
      <c r="A261" s="588">
        <v>4</v>
      </c>
      <c r="B261" s="587" t="s">
        <v>747</v>
      </c>
      <c r="C261" s="622">
        <f>C188</f>
        <v>63377870</v>
      </c>
      <c r="D261" s="622">
        <f>D188</f>
        <v>73406237</v>
      </c>
      <c r="E261" s="622">
        <f t="shared" si="30"/>
        <v>10028367</v>
      </c>
    </row>
    <row r="262" spans="1:5" x14ac:dyDescent="0.25">
      <c r="A262" s="588">
        <v>5</v>
      </c>
      <c r="B262" s="587" t="s">
        <v>748</v>
      </c>
      <c r="C262" s="622">
        <f>C191</f>
        <v>8040766</v>
      </c>
      <c r="D262" s="622">
        <f>D191</f>
        <v>5814245</v>
      </c>
      <c r="E262" s="622">
        <f t="shared" si="30"/>
        <v>-2226521</v>
      </c>
    </row>
    <row r="263" spans="1:5" x14ac:dyDescent="0.25">
      <c r="A263" s="588">
        <v>6</v>
      </c>
      <c r="B263" s="587" t="s">
        <v>749</v>
      </c>
      <c r="C263" s="622">
        <f>+C259+C260+C261+C262</f>
        <v>308722093</v>
      </c>
      <c r="D263" s="622">
        <f>+D259+D260+D261+D262</f>
        <v>330822533</v>
      </c>
      <c r="E263" s="622">
        <f t="shared" si="30"/>
        <v>22100440</v>
      </c>
    </row>
    <row r="264" spans="1:5" x14ac:dyDescent="0.25">
      <c r="A264" s="588">
        <v>7</v>
      </c>
      <c r="B264" s="587" t="s">
        <v>654</v>
      </c>
      <c r="C264" s="622">
        <f>+C258-C263</f>
        <v>135386557</v>
      </c>
      <c r="D264" s="622">
        <f>+D258-D263</f>
        <v>138567428</v>
      </c>
      <c r="E264" s="622">
        <f t="shared" si="30"/>
        <v>3180871</v>
      </c>
    </row>
    <row r="265" spans="1:5" x14ac:dyDescent="0.25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5">
      <c r="A266" s="588">
        <v>9</v>
      </c>
      <c r="B266" s="587" t="s">
        <v>836</v>
      </c>
      <c r="C266" s="622">
        <f>+C264+C265</f>
        <v>135386557</v>
      </c>
      <c r="D266" s="622">
        <f>+D264+D265</f>
        <v>138567428</v>
      </c>
      <c r="E266" s="641">
        <f t="shared" si="30"/>
        <v>3180871</v>
      </c>
    </row>
    <row r="267" spans="1:5" x14ac:dyDescent="0.25">
      <c r="A267" s="588">
        <v>10</v>
      </c>
      <c r="B267" s="587" t="s">
        <v>837</v>
      </c>
      <c r="C267" s="642">
        <f>IF(C258=0,0,C266/C258)</f>
        <v>0.3048500789164994</v>
      </c>
      <c r="D267" s="642">
        <f>IF(D258=0,0,D266/D258)</f>
        <v>0.29520748101385152</v>
      </c>
      <c r="E267" s="643">
        <f t="shared" si="30"/>
        <v>-9.6425979026478759E-3</v>
      </c>
    </row>
    <row r="268" spans="1:5" x14ac:dyDescent="0.25">
      <c r="A268" s="588">
        <v>11</v>
      </c>
      <c r="B268" s="587" t="s">
        <v>716</v>
      </c>
      <c r="C268" s="622">
        <f>+C260*C267</f>
        <v>1921892.2647699951</v>
      </c>
      <c r="D268" s="644">
        <f>+D260*D267</f>
        <v>1868616.1216207179</v>
      </c>
      <c r="E268" s="622">
        <f t="shared" si="30"/>
        <v>-53276.143149277195</v>
      </c>
    </row>
    <row r="269" spans="1:5" x14ac:dyDescent="0.25">
      <c r="A269" s="588">
        <v>12</v>
      </c>
      <c r="B269" s="587" t="s">
        <v>838</v>
      </c>
      <c r="C269" s="622">
        <f>((C17+C18+C28+C29)*C267)-(C50+C51+C61+C62)</f>
        <v>8392972.7052631229</v>
      </c>
      <c r="D269" s="644">
        <f>((D17+D18+D28+D29)*D267)-(D50+D51+D61+D62)</f>
        <v>7068810.9018522538</v>
      </c>
      <c r="E269" s="622">
        <f t="shared" si="30"/>
        <v>-1324161.8034108691</v>
      </c>
    </row>
    <row r="270" spans="1:5" s="648" customFormat="1" x14ac:dyDescent="0.25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5">
      <c r="A271" s="588">
        <v>14</v>
      </c>
      <c r="B271" s="587" t="s">
        <v>840</v>
      </c>
      <c r="C271" s="622">
        <f>+C268+C269+C270</f>
        <v>10314864.970033119</v>
      </c>
      <c r="D271" s="622">
        <f>+D268+D269+D270</f>
        <v>8937427.0234729722</v>
      </c>
      <c r="E271" s="625">
        <f t="shared" si="30"/>
        <v>-1377437.9465601463</v>
      </c>
    </row>
    <row r="272" spans="1:5" x14ac:dyDescent="0.25">
      <c r="A272" s="588"/>
      <c r="B272" s="587"/>
      <c r="C272" s="622"/>
      <c r="D272" s="622"/>
      <c r="E272" s="640"/>
    </row>
    <row r="273" spans="1:5" ht="15.75" customHeight="1" x14ac:dyDescent="0.25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5">
      <c r="A274" s="584"/>
      <c r="B274" s="649"/>
      <c r="C274" s="622"/>
      <c r="D274" s="622"/>
      <c r="E274" s="640"/>
    </row>
    <row r="275" spans="1:5" x14ac:dyDescent="0.25">
      <c r="A275" s="425" t="s">
        <v>14</v>
      </c>
      <c r="B275" s="585" t="s">
        <v>843</v>
      </c>
      <c r="C275" s="425"/>
      <c r="D275" s="425"/>
      <c r="E275" s="596"/>
    </row>
    <row r="276" spans="1:5" x14ac:dyDescent="0.25">
      <c r="A276" s="588">
        <v>1</v>
      </c>
      <c r="B276" s="587" t="s">
        <v>656</v>
      </c>
      <c r="C276" s="623">
        <f t="shared" ref="C276:D284" si="31">IF(C14=0,0,+C47/C14)</f>
        <v>0.51787185997325913</v>
      </c>
      <c r="D276" s="623">
        <f t="shared" si="31"/>
        <v>0.49046346750398784</v>
      </c>
      <c r="E276" s="650">
        <f t="shared" ref="E276:E284" si="32">D276-C276</f>
        <v>-2.7408392469271292E-2</v>
      </c>
    </row>
    <row r="277" spans="1:5" x14ac:dyDescent="0.25">
      <c r="A277" s="588">
        <v>2</v>
      </c>
      <c r="B277" s="587" t="s">
        <v>635</v>
      </c>
      <c r="C277" s="623">
        <f t="shared" si="31"/>
        <v>0.31586326968345046</v>
      </c>
      <c r="D277" s="623">
        <f t="shared" si="31"/>
        <v>0.29203147641352467</v>
      </c>
      <c r="E277" s="650">
        <f t="shared" si="32"/>
        <v>-2.3831793269925794E-2</v>
      </c>
    </row>
    <row r="278" spans="1:5" x14ac:dyDescent="0.25">
      <c r="A278" s="588">
        <v>3</v>
      </c>
      <c r="B278" s="587" t="s">
        <v>777</v>
      </c>
      <c r="C278" s="623">
        <f t="shared" si="31"/>
        <v>0.23343944237321398</v>
      </c>
      <c r="D278" s="623">
        <f t="shared" si="31"/>
        <v>0.25529711777407998</v>
      </c>
      <c r="E278" s="650">
        <f t="shared" si="32"/>
        <v>2.1857675400866E-2</v>
      </c>
    </row>
    <row r="279" spans="1:5" x14ac:dyDescent="0.25">
      <c r="A279" s="588">
        <v>4</v>
      </c>
      <c r="B279" s="587" t="s">
        <v>115</v>
      </c>
      <c r="C279" s="623">
        <f t="shared" si="31"/>
        <v>0.23343944237321398</v>
      </c>
      <c r="D279" s="623">
        <f t="shared" si="31"/>
        <v>0.25529711777407998</v>
      </c>
      <c r="E279" s="650">
        <f t="shared" si="32"/>
        <v>2.1857675400866E-2</v>
      </c>
    </row>
    <row r="280" spans="1:5" x14ac:dyDescent="0.25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5">
      <c r="A281" s="588">
        <v>6</v>
      </c>
      <c r="B281" s="587" t="s">
        <v>424</v>
      </c>
      <c r="C281" s="623">
        <f t="shared" si="31"/>
        <v>0.14681871257856949</v>
      </c>
      <c r="D281" s="623">
        <f t="shared" si="31"/>
        <v>0.34120450606585789</v>
      </c>
      <c r="E281" s="650">
        <f t="shared" si="32"/>
        <v>0.19438579348728841</v>
      </c>
    </row>
    <row r="282" spans="1:5" x14ac:dyDescent="0.25">
      <c r="A282" s="588">
        <v>7</v>
      </c>
      <c r="B282" s="587" t="s">
        <v>758</v>
      </c>
      <c r="C282" s="623">
        <f t="shared" si="31"/>
        <v>0</v>
      </c>
      <c r="D282" s="623">
        <f t="shared" si="31"/>
        <v>4.9546105285625322E-3</v>
      </c>
      <c r="E282" s="650">
        <f t="shared" si="32"/>
        <v>4.9546105285625322E-3</v>
      </c>
    </row>
    <row r="283" spans="1:5" ht="29.25" customHeight="1" x14ac:dyDescent="0.25">
      <c r="A283" s="588"/>
      <c r="B283" s="592" t="s">
        <v>844</v>
      </c>
      <c r="C283" s="651">
        <f t="shared" si="31"/>
        <v>0.29336567899093141</v>
      </c>
      <c r="D283" s="651">
        <f t="shared" si="31"/>
        <v>0.28181699249446768</v>
      </c>
      <c r="E283" s="652">
        <f t="shared" si="32"/>
        <v>-1.1548686496463734E-2</v>
      </c>
    </row>
    <row r="284" spans="1:5" x14ac:dyDescent="0.25">
      <c r="A284" s="588"/>
      <c r="B284" s="592" t="s">
        <v>845</v>
      </c>
      <c r="C284" s="651">
        <f t="shared" si="31"/>
        <v>0.34301365213602697</v>
      </c>
      <c r="D284" s="651">
        <f t="shared" si="31"/>
        <v>0.33219982155272287</v>
      </c>
      <c r="E284" s="652">
        <f t="shared" si="32"/>
        <v>-1.0813830583304096E-2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5">
      <c r="A286" s="425" t="s">
        <v>26</v>
      </c>
      <c r="B286" s="585" t="s">
        <v>846</v>
      </c>
      <c r="C286" s="596"/>
      <c r="D286" s="596"/>
      <c r="E286" s="596"/>
    </row>
    <row r="287" spans="1:5" x14ac:dyDescent="0.25">
      <c r="A287" s="588">
        <v>1</v>
      </c>
      <c r="B287" s="587" t="s">
        <v>656</v>
      </c>
      <c r="C287" s="623">
        <f t="shared" ref="C287:D295" si="33">IF(C25=0,0,+C58/C25)</f>
        <v>0.3940042091650372</v>
      </c>
      <c r="D287" s="623">
        <f t="shared" si="33"/>
        <v>0.38255573591787773</v>
      </c>
      <c r="E287" s="650">
        <f t="shared" ref="E287:E295" si="34">D287-C287</f>
        <v>-1.1448473247159474E-2</v>
      </c>
    </row>
    <row r="288" spans="1:5" x14ac:dyDescent="0.25">
      <c r="A288" s="588">
        <v>2</v>
      </c>
      <c r="B288" s="587" t="s">
        <v>635</v>
      </c>
      <c r="C288" s="623">
        <f t="shared" si="33"/>
        <v>0.20572249492228109</v>
      </c>
      <c r="D288" s="623">
        <f t="shared" si="33"/>
        <v>0.1922644428896135</v>
      </c>
      <c r="E288" s="650">
        <f t="shared" si="34"/>
        <v>-1.3458052032667589E-2</v>
      </c>
    </row>
    <row r="289" spans="1:5" x14ac:dyDescent="0.25">
      <c r="A289" s="588">
        <v>3</v>
      </c>
      <c r="B289" s="587" t="s">
        <v>777</v>
      </c>
      <c r="C289" s="623">
        <f t="shared" si="33"/>
        <v>0.21194746788965629</v>
      </c>
      <c r="D289" s="623">
        <f t="shared" si="33"/>
        <v>0.20902704988653786</v>
      </c>
      <c r="E289" s="650">
        <f t="shared" si="34"/>
        <v>-2.9204180031184301E-3</v>
      </c>
    </row>
    <row r="290" spans="1:5" x14ac:dyDescent="0.25">
      <c r="A290" s="588">
        <v>4</v>
      </c>
      <c r="B290" s="587" t="s">
        <v>115</v>
      </c>
      <c r="C290" s="623">
        <f t="shared" si="33"/>
        <v>0.21194746788965629</v>
      </c>
      <c r="D290" s="623">
        <f t="shared" si="33"/>
        <v>0.20902704988653786</v>
      </c>
      <c r="E290" s="650">
        <f t="shared" si="34"/>
        <v>-2.9204180031184301E-3</v>
      </c>
    </row>
    <row r="291" spans="1:5" x14ac:dyDescent="0.25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5">
      <c r="A292" s="588">
        <v>6</v>
      </c>
      <c r="B292" s="587" t="s">
        <v>424</v>
      </c>
      <c r="C292" s="623">
        <f t="shared" si="33"/>
        <v>0.24560089529441645</v>
      </c>
      <c r="D292" s="623">
        <f t="shared" si="33"/>
        <v>8.2133148244548551E-2</v>
      </c>
      <c r="E292" s="650">
        <f t="shared" si="34"/>
        <v>-0.16346774704986788</v>
      </c>
    </row>
    <row r="293" spans="1:5" x14ac:dyDescent="0.25">
      <c r="A293" s="588">
        <v>7</v>
      </c>
      <c r="B293" s="587" t="s">
        <v>758</v>
      </c>
      <c r="C293" s="623">
        <f t="shared" si="33"/>
        <v>2.1106166213884156E-2</v>
      </c>
      <c r="D293" s="623">
        <f t="shared" si="33"/>
        <v>2.4912938952632611E-2</v>
      </c>
      <c r="E293" s="650">
        <f t="shared" si="34"/>
        <v>3.8067727387484547E-3</v>
      </c>
    </row>
    <row r="294" spans="1:5" ht="29.25" customHeight="1" x14ac:dyDescent="0.25">
      <c r="A294" s="588"/>
      <c r="B294" s="592" t="s">
        <v>847</v>
      </c>
      <c r="C294" s="651">
        <f t="shared" si="33"/>
        <v>0.20818976363584449</v>
      </c>
      <c r="D294" s="651">
        <f t="shared" si="33"/>
        <v>0.19759509263670083</v>
      </c>
      <c r="E294" s="652">
        <f t="shared" si="34"/>
        <v>-1.0594670999143657E-2</v>
      </c>
    </row>
    <row r="295" spans="1:5" x14ac:dyDescent="0.25">
      <c r="A295" s="588"/>
      <c r="B295" s="592" t="s">
        <v>848</v>
      </c>
      <c r="C295" s="651">
        <f t="shared" si="33"/>
        <v>0.27581557379640093</v>
      </c>
      <c r="D295" s="651">
        <f t="shared" si="33"/>
        <v>0.26467399098938782</v>
      </c>
      <c r="E295" s="652">
        <f t="shared" si="34"/>
        <v>-1.1141582807013106E-2</v>
      </c>
    </row>
    <row r="296" spans="1:5" x14ac:dyDescent="0.25">
      <c r="A296" s="580"/>
      <c r="B296" s="595"/>
      <c r="C296" s="595"/>
      <c r="D296" s="596"/>
      <c r="E296" s="652"/>
    </row>
    <row r="297" spans="1:5" ht="15.75" customHeight="1" x14ac:dyDescent="0.3">
      <c r="A297" s="578" t="s">
        <v>849</v>
      </c>
      <c r="B297" s="579" t="s">
        <v>850</v>
      </c>
      <c r="C297" s="425"/>
      <c r="E297" s="652"/>
    </row>
    <row r="298" spans="1:5" ht="15.75" customHeight="1" x14ac:dyDescent="0.3">
      <c r="A298" s="425"/>
      <c r="B298" s="653"/>
      <c r="C298" s="577"/>
      <c r="E298" s="652"/>
    </row>
    <row r="299" spans="1:5" x14ac:dyDescent="0.25">
      <c r="A299" s="584" t="s">
        <v>14</v>
      </c>
      <c r="B299" s="585" t="s">
        <v>851</v>
      </c>
      <c r="C299" s="586"/>
      <c r="D299" s="586"/>
      <c r="E299" s="652"/>
    </row>
    <row r="300" spans="1:5" x14ac:dyDescent="0.25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133032103</v>
      </c>
      <c r="D301" s="590">
        <f>+D48+D47+D50+D51+D52+D59+D58+D61+D62+D63</f>
        <v>134813854</v>
      </c>
      <c r="E301" s="590">
        <f>D301-C301</f>
        <v>1781751</v>
      </c>
    </row>
    <row r="302" spans="1:5" ht="26.4" x14ac:dyDescent="0.25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133032103</v>
      </c>
      <c r="D303" s="593">
        <f>+D301+D302</f>
        <v>134813854</v>
      </c>
      <c r="E303" s="593">
        <f>D303-C303</f>
        <v>1781751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295799</v>
      </c>
      <c r="D305" s="654">
        <v>-1269052</v>
      </c>
      <c r="E305" s="655">
        <f>D305-C305</f>
        <v>-1564851</v>
      </c>
    </row>
    <row r="306" spans="1:5" x14ac:dyDescent="0.2">
      <c r="A306" s="588">
        <v>4</v>
      </c>
      <c r="B306" s="592" t="s">
        <v>855</v>
      </c>
      <c r="C306" s="593">
        <f>+C303+C305+C194+C190-C191</f>
        <v>136990176</v>
      </c>
      <c r="D306" s="593">
        <f>+D303+D305</f>
        <v>133544802</v>
      </c>
      <c r="E306" s="656">
        <f>D306-C306</f>
        <v>-3445374</v>
      </c>
    </row>
    <row r="307" spans="1:5" x14ac:dyDescent="0.25">
      <c r="A307" s="588"/>
      <c r="B307" s="586"/>
      <c r="C307" s="586"/>
      <c r="D307" s="586"/>
      <c r="E307" s="590"/>
    </row>
    <row r="308" spans="1:5" ht="26.4" x14ac:dyDescent="0.2">
      <c r="A308" s="588">
        <v>5</v>
      </c>
      <c r="B308" s="587" t="s">
        <v>856</v>
      </c>
      <c r="C308" s="589">
        <v>133327930</v>
      </c>
      <c r="D308" s="589">
        <v>133544821</v>
      </c>
      <c r="E308" s="590">
        <f>D308-C308</f>
        <v>216891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3662246</v>
      </c>
      <c r="D310" s="658">
        <f>D306-D308</f>
        <v>-19</v>
      </c>
      <c r="E310" s="656">
        <f>D310-C310</f>
        <v>-3662265</v>
      </c>
    </row>
    <row r="311" spans="1:5" x14ac:dyDescent="0.2">
      <c r="A311" s="588"/>
      <c r="B311" s="587"/>
      <c r="C311" s="587"/>
      <c r="D311" s="587"/>
      <c r="E311" s="590"/>
    </row>
    <row r="312" spans="1:5" x14ac:dyDescent="0.25">
      <c r="A312" s="425" t="s">
        <v>26</v>
      </c>
      <c r="B312" s="585" t="s">
        <v>858</v>
      </c>
      <c r="C312" s="586"/>
      <c r="D312" s="586"/>
      <c r="E312" s="590"/>
    </row>
    <row r="313" spans="1:5" x14ac:dyDescent="0.25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444108650</v>
      </c>
      <c r="D314" s="590">
        <f>+D14+D15+D16+D19+D25+D26+D27+D30</f>
        <v>469389961</v>
      </c>
      <c r="E314" s="590">
        <f>D314-C314</f>
        <v>25281311</v>
      </c>
    </row>
    <row r="315" spans="1:5" x14ac:dyDescent="0.25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444108650</v>
      </c>
      <c r="D316" s="657">
        <f>D314+D315</f>
        <v>469389961</v>
      </c>
      <c r="E316" s="593">
        <f>D316-C316</f>
        <v>25281311</v>
      </c>
    </row>
    <row r="317" spans="1:5" x14ac:dyDescent="0.25">
      <c r="A317" s="588"/>
      <c r="B317" s="586"/>
      <c r="C317" s="589"/>
      <c r="D317" s="589"/>
      <c r="E317" s="590"/>
    </row>
    <row r="318" spans="1:5" ht="26.4" x14ac:dyDescent="0.2">
      <c r="A318" s="588">
        <v>3</v>
      </c>
      <c r="B318" s="587" t="s">
        <v>862</v>
      </c>
      <c r="C318" s="589">
        <v>444108678</v>
      </c>
      <c r="D318" s="589">
        <v>469389980</v>
      </c>
      <c r="E318" s="590">
        <f>D318-C318</f>
        <v>25281302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-28</v>
      </c>
      <c r="D320" s="657">
        <f>D316-D318</f>
        <v>-19</v>
      </c>
      <c r="E320" s="593">
        <f>D320-C320</f>
        <v>9</v>
      </c>
    </row>
    <row r="321" spans="1:5" x14ac:dyDescent="0.25">
      <c r="A321" s="587"/>
      <c r="B321" s="586"/>
      <c r="C321" s="586"/>
      <c r="D321" s="586"/>
      <c r="E321" s="590"/>
    </row>
    <row r="322" spans="1:5" x14ac:dyDescent="0.25">
      <c r="A322" s="584" t="s">
        <v>36</v>
      </c>
      <c r="B322" s="585" t="s">
        <v>863</v>
      </c>
      <c r="C322" s="586"/>
      <c r="D322" s="586"/>
      <c r="E322" s="590"/>
    </row>
    <row r="323" spans="1:5" x14ac:dyDescent="0.25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6304385</v>
      </c>
      <c r="D324" s="589">
        <f>+D193+D194</f>
        <v>6329840</v>
      </c>
      <c r="E324" s="590">
        <f>D324-C324</f>
        <v>25455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6304385</v>
      </c>
      <c r="D326" s="657">
        <f>D324+D325</f>
        <v>6329840</v>
      </c>
      <c r="E326" s="593">
        <f>D326-C326</f>
        <v>25455</v>
      </c>
    </row>
    <row r="327" spans="1:5" x14ac:dyDescent="0.25">
      <c r="A327" s="588"/>
      <c r="B327" s="586"/>
      <c r="C327" s="589"/>
      <c r="D327" s="589"/>
      <c r="E327" s="590"/>
    </row>
    <row r="328" spans="1:5" ht="26.4" x14ac:dyDescent="0.2">
      <c r="A328" s="588">
        <v>3</v>
      </c>
      <c r="B328" s="587" t="s">
        <v>867</v>
      </c>
      <c r="C328" s="589">
        <v>6304385</v>
      </c>
      <c r="D328" s="589">
        <v>6329840</v>
      </c>
      <c r="E328" s="590">
        <f>D328-C328</f>
        <v>25455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5" bottom="0.5" header="0.25" footer="0.25"/>
  <pageSetup scale="74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>
      <selection sqref="A1:F1"/>
    </sheetView>
  </sheetViews>
  <sheetFormatPr defaultColWidth="9.109375" defaultRowHeight="15" x14ac:dyDescent="0.25"/>
  <cols>
    <col min="1" max="1" width="6.6640625" style="675" customWidth="1"/>
    <col min="2" max="2" width="104.6640625" style="676" customWidth="1"/>
    <col min="3" max="3" width="16.6640625" style="675" customWidth="1"/>
    <col min="4" max="4" width="12.6640625" style="674" bestFit="1" customWidth="1"/>
    <col min="5" max="43" width="9.109375" style="675"/>
    <col min="44" max="44" width="9.109375" style="676"/>
    <col min="45" max="16384" width="9.109375" style="675"/>
  </cols>
  <sheetData>
    <row r="2" spans="1:58" s="662" customFormat="1" ht="15.75" customHeight="1" x14ac:dyDescent="0.3">
      <c r="A2" s="823" t="s">
        <v>0</v>
      </c>
      <c r="B2" s="824"/>
      <c r="C2" s="825"/>
      <c r="D2" s="661"/>
    </row>
    <row r="3" spans="1:58" s="662" customFormat="1" ht="15.75" customHeight="1" x14ac:dyDescent="0.3">
      <c r="A3" s="823" t="s">
        <v>629</v>
      </c>
      <c r="B3" s="824"/>
      <c r="C3" s="825"/>
      <c r="D3" s="661"/>
    </row>
    <row r="4" spans="1:58" s="662" customFormat="1" ht="15.75" customHeight="1" x14ac:dyDescent="0.3">
      <c r="A4" s="823" t="s">
        <v>2</v>
      </c>
      <c r="B4" s="824"/>
      <c r="C4" s="825"/>
      <c r="D4" s="661"/>
    </row>
    <row r="5" spans="1:58" s="662" customFormat="1" ht="15.75" customHeight="1" x14ac:dyDescent="0.3">
      <c r="A5" s="823" t="s">
        <v>869</v>
      </c>
      <c r="B5" s="824"/>
      <c r="C5" s="825"/>
      <c r="D5" s="661"/>
    </row>
    <row r="6" spans="1:58" s="662" customFormat="1" ht="15.75" customHeight="1" x14ac:dyDescent="0.3">
      <c r="A6" s="823" t="s">
        <v>870</v>
      </c>
      <c r="B6" s="824"/>
      <c r="C6" s="825"/>
      <c r="D6" s="661"/>
    </row>
    <row r="7" spans="1:58" s="662" customFormat="1" ht="15.75" customHeight="1" x14ac:dyDescent="0.3">
      <c r="A7" s="823"/>
      <c r="B7" s="824"/>
      <c r="C7" s="825"/>
      <c r="D7" s="661"/>
    </row>
    <row r="8" spans="1:58" s="662" customFormat="1" ht="15.75" customHeight="1" x14ac:dyDescent="0.3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3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3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3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3.2" x14ac:dyDescent="0.25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3.2" x14ac:dyDescent="0.25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3.2" x14ac:dyDescent="0.25">
      <c r="A14" s="588">
        <v>1</v>
      </c>
      <c r="B14" s="669" t="s">
        <v>656</v>
      </c>
      <c r="C14" s="589">
        <v>37829211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3.2" x14ac:dyDescent="0.25">
      <c r="A15" s="588">
        <v>2</v>
      </c>
      <c r="B15" s="669" t="s">
        <v>635</v>
      </c>
      <c r="C15" s="591">
        <v>85193950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3.2" x14ac:dyDescent="0.25">
      <c r="A16" s="588">
        <v>3</v>
      </c>
      <c r="B16" s="669" t="s">
        <v>777</v>
      </c>
      <c r="C16" s="591">
        <v>33382116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3.2" x14ac:dyDescent="0.25">
      <c r="A17" s="588">
        <v>4</v>
      </c>
      <c r="B17" s="669" t="s">
        <v>115</v>
      </c>
      <c r="C17" s="591">
        <v>33382116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3.2" x14ac:dyDescent="0.25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3.2" x14ac:dyDescent="0.25">
      <c r="A19" s="588">
        <v>6</v>
      </c>
      <c r="B19" s="669" t="s">
        <v>424</v>
      </c>
      <c r="C19" s="591">
        <v>253880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3.2" x14ac:dyDescent="0.25">
      <c r="A20" s="588">
        <v>7</v>
      </c>
      <c r="B20" s="669" t="s">
        <v>758</v>
      </c>
      <c r="C20" s="591">
        <v>1649171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3.2" x14ac:dyDescent="0.25">
      <c r="A21" s="588"/>
      <c r="B21" s="671" t="s">
        <v>778</v>
      </c>
      <c r="C21" s="593">
        <f>SUM(C15+C16+C19)</f>
        <v>118829946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3.2" x14ac:dyDescent="0.25">
      <c r="A22" s="588"/>
      <c r="B22" s="671" t="s">
        <v>465</v>
      </c>
      <c r="C22" s="593">
        <f>SUM(C14+C21)</f>
        <v>156659157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3.2" x14ac:dyDescent="0.25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3.2" x14ac:dyDescent="0.25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3.2" x14ac:dyDescent="0.25">
      <c r="A25" s="588">
        <v>1</v>
      </c>
      <c r="B25" s="669" t="s">
        <v>656</v>
      </c>
      <c r="C25" s="589">
        <v>113416765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3.2" x14ac:dyDescent="0.25">
      <c r="A26" s="588">
        <v>2</v>
      </c>
      <c r="B26" s="669" t="s">
        <v>635</v>
      </c>
      <c r="C26" s="591">
        <v>132265897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3.2" x14ac:dyDescent="0.25">
      <c r="A27" s="588">
        <v>3</v>
      </c>
      <c r="B27" s="669" t="s">
        <v>777</v>
      </c>
      <c r="C27" s="591">
        <v>66564050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3.2" x14ac:dyDescent="0.25">
      <c r="A28" s="588">
        <v>4</v>
      </c>
      <c r="B28" s="669" t="s">
        <v>115</v>
      </c>
      <c r="C28" s="591">
        <v>66564050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3.2" x14ac:dyDescent="0.25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3.2" x14ac:dyDescent="0.25">
      <c r="A30" s="588">
        <v>6</v>
      </c>
      <c r="B30" s="669" t="s">
        <v>424</v>
      </c>
      <c r="C30" s="591">
        <v>484092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3.2" x14ac:dyDescent="0.25">
      <c r="A31" s="588">
        <v>7</v>
      </c>
      <c r="B31" s="669" t="s">
        <v>758</v>
      </c>
      <c r="C31" s="594">
        <v>5404541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3.2" x14ac:dyDescent="0.25">
      <c r="A32" s="588"/>
      <c r="B32" s="671" t="s">
        <v>780</v>
      </c>
      <c r="C32" s="593">
        <f>SUM(C26+C27+C30)</f>
        <v>199314039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3.2" x14ac:dyDescent="0.25">
      <c r="A33" s="588"/>
      <c r="B33" s="671" t="s">
        <v>467</v>
      </c>
      <c r="C33" s="593">
        <f>SUM(C25+C32)</f>
        <v>312730804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3.2" x14ac:dyDescent="0.25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3.2" x14ac:dyDescent="0.25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3.2" x14ac:dyDescent="0.25">
      <c r="A36" s="588">
        <v>1</v>
      </c>
      <c r="B36" s="669" t="s">
        <v>873</v>
      </c>
      <c r="C36" s="590">
        <f>SUM(C14+C25)</f>
        <v>151245976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3.2" x14ac:dyDescent="0.25">
      <c r="A37" s="588">
        <v>2</v>
      </c>
      <c r="B37" s="669" t="s">
        <v>874</v>
      </c>
      <c r="C37" s="594">
        <f>SUM(C21+C32)</f>
        <v>318143985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3.2" x14ac:dyDescent="0.25">
      <c r="A38" s="588"/>
      <c r="B38" s="671" t="s">
        <v>653</v>
      </c>
      <c r="C38" s="593">
        <f>SUM(+C36+C37)</f>
        <v>469389961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3.2" x14ac:dyDescent="0.25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3.2" x14ac:dyDescent="0.25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5">
      <c r="A41" s="588">
        <v>1</v>
      </c>
      <c r="B41" s="669" t="s">
        <v>656</v>
      </c>
      <c r="C41" s="589">
        <v>18553846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3.2" x14ac:dyDescent="0.25">
      <c r="A42" s="588">
        <v>2</v>
      </c>
      <c r="B42" s="669" t="s">
        <v>635</v>
      </c>
      <c r="C42" s="591">
        <v>24879315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3.2" x14ac:dyDescent="0.25">
      <c r="A43" s="588">
        <v>3</v>
      </c>
      <c r="B43" s="669" t="s">
        <v>777</v>
      </c>
      <c r="C43" s="591">
        <v>8522358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3.2" x14ac:dyDescent="0.25">
      <c r="A44" s="588">
        <v>4</v>
      </c>
      <c r="B44" s="669" t="s">
        <v>115</v>
      </c>
      <c r="C44" s="591">
        <v>8522358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3.2" x14ac:dyDescent="0.25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3.2" x14ac:dyDescent="0.25">
      <c r="A46" s="588">
        <v>6</v>
      </c>
      <c r="B46" s="669" t="s">
        <v>424</v>
      </c>
      <c r="C46" s="591">
        <v>86625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3.2" x14ac:dyDescent="0.25">
      <c r="A47" s="588">
        <v>7</v>
      </c>
      <c r="B47" s="669" t="s">
        <v>758</v>
      </c>
      <c r="C47" s="591">
        <v>8171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3.2" x14ac:dyDescent="0.25">
      <c r="A48" s="588"/>
      <c r="B48" s="671" t="s">
        <v>790</v>
      </c>
      <c r="C48" s="593">
        <f>SUM(C42+C43+C46)</f>
        <v>33488298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3.2" x14ac:dyDescent="0.25">
      <c r="A49" s="588"/>
      <c r="B49" s="671" t="s">
        <v>466</v>
      </c>
      <c r="C49" s="593">
        <f>SUM(C41+C48)</f>
        <v>52042144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3.2" x14ac:dyDescent="0.25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3.2" x14ac:dyDescent="0.25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3.2" x14ac:dyDescent="0.25">
      <c r="A52" s="588">
        <v>1</v>
      </c>
      <c r="B52" s="669" t="s">
        <v>656</v>
      </c>
      <c r="C52" s="589">
        <v>43388234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3.2" x14ac:dyDescent="0.25">
      <c r="A53" s="588">
        <v>2</v>
      </c>
      <c r="B53" s="669" t="s">
        <v>635</v>
      </c>
      <c r="C53" s="591">
        <v>25430029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3.2" x14ac:dyDescent="0.25">
      <c r="A54" s="588">
        <v>3</v>
      </c>
      <c r="B54" s="669" t="s">
        <v>777</v>
      </c>
      <c r="C54" s="591">
        <v>13913687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3.2" x14ac:dyDescent="0.25">
      <c r="A55" s="588">
        <v>4</v>
      </c>
      <c r="B55" s="669" t="s">
        <v>115</v>
      </c>
      <c r="C55" s="591">
        <v>13913687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3.2" x14ac:dyDescent="0.25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3.2" x14ac:dyDescent="0.25">
      <c r="A57" s="588">
        <v>6</v>
      </c>
      <c r="B57" s="669" t="s">
        <v>424</v>
      </c>
      <c r="C57" s="591">
        <v>39760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3.2" x14ac:dyDescent="0.25">
      <c r="A58" s="588">
        <v>7</v>
      </c>
      <c r="B58" s="669" t="s">
        <v>758</v>
      </c>
      <c r="C58" s="591">
        <v>134643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3.2" x14ac:dyDescent="0.25">
      <c r="A59" s="588"/>
      <c r="B59" s="671" t="s">
        <v>792</v>
      </c>
      <c r="C59" s="593">
        <f>SUM(C53+C54+C57)</f>
        <v>39383476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3.2" x14ac:dyDescent="0.25">
      <c r="A60" s="588"/>
      <c r="B60" s="671" t="s">
        <v>468</v>
      </c>
      <c r="C60" s="593">
        <f>SUM(C52+C59)</f>
        <v>82771710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5">
      <c r="A61" s="672"/>
      <c r="B61" s="673"/>
      <c r="C61" s="672"/>
    </row>
    <row r="62" spans="1:58" s="421" customFormat="1" ht="13.2" x14ac:dyDescent="0.25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3.2" x14ac:dyDescent="0.25">
      <c r="A63" s="588">
        <v>1</v>
      </c>
      <c r="B63" s="669" t="s">
        <v>875</v>
      </c>
      <c r="C63" s="590">
        <f>SUM(C41+C52)</f>
        <v>61942080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3.2" x14ac:dyDescent="0.25">
      <c r="A64" s="588">
        <v>2</v>
      </c>
      <c r="B64" s="669" t="s">
        <v>876</v>
      </c>
      <c r="C64" s="594">
        <f>SUM(C48+C59)</f>
        <v>72871774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3.2" x14ac:dyDescent="0.25">
      <c r="A65" s="588"/>
      <c r="B65" s="671" t="s">
        <v>654</v>
      </c>
      <c r="C65" s="593">
        <f>SUM(+C63+C64)</f>
        <v>134813854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3.2" x14ac:dyDescent="0.25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3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3.2" x14ac:dyDescent="0.25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3.2" x14ac:dyDescent="0.25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3.2" x14ac:dyDescent="0.25">
      <c r="A70" s="588">
        <v>1</v>
      </c>
      <c r="B70" s="669" t="s">
        <v>656</v>
      </c>
      <c r="C70" s="606">
        <v>1820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3.2" x14ac:dyDescent="0.25">
      <c r="A71" s="588">
        <v>2</v>
      </c>
      <c r="B71" s="669" t="s">
        <v>635</v>
      </c>
      <c r="C71" s="606">
        <v>3148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3.2" x14ac:dyDescent="0.25">
      <c r="A72" s="588">
        <v>3</v>
      </c>
      <c r="B72" s="669" t="s">
        <v>777</v>
      </c>
      <c r="C72" s="606">
        <v>1721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3.2" x14ac:dyDescent="0.25">
      <c r="A73" s="588">
        <v>4</v>
      </c>
      <c r="B73" s="669" t="s">
        <v>115</v>
      </c>
      <c r="C73" s="606">
        <v>1721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3.2" x14ac:dyDescent="0.25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3.2" x14ac:dyDescent="0.25">
      <c r="A75" s="588">
        <v>6</v>
      </c>
      <c r="B75" s="669" t="s">
        <v>424</v>
      </c>
      <c r="C75" s="621">
        <v>20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3.2" x14ac:dyDescent="0.25">
      <c r="A76" s="588">
        <v>7</v>
      </c>
      <c r="B76" s="669" t="s">
        <v>758</v>
      </c>
      <c r="C76" s="621">
        <v>88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3.2" x14ac:dyDescent="0.25">
      <c r="A77" s="588"/>
      <c r="B77" s="671" t="s">
        <v>807</v>
      </c>
      <c r="C77" s="608">
        <f>SUM(C71+C72+C75)</f>
        <v>4889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3.2" x14ac:dyDescent="0.25">
      <c r="A78" s="588"/>
      <c r="B78" s="671" t="s">
        <v>138</v>
      </c>
      <c r="C78" s="680">
        <f>SUM(C70+C77)</f>
        <v>6709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3.2" x14ac:dyDescent="0.25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3.2" x14ac:dyDescent="0.25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3.2" x14ac:dyDescent="0.25">
      <c r="A81" s="588">
        <v>1</v>
      </c>
      <c r="B81" s="669" t="s">
        <v>656</v>
      </c>
      <c r="C81" s="617">
        <v>1.1357999999999999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3.2" x14ac:dyDescent="0.25">
      <c r="A82" s="588">
        <v>2</v>
      </c>
      <c r="B82" s="669" t="s">
        <v>635</v>
      </c>
      <c r="C82" s="617">
        <v>1.4052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3.2" x14ac:dyDescent="0.25">
      <c r="A83" s="588">
        <v>3</v>
      </c>
      <c r="B83" s="669" t="s">
        <v>777</v>
      </c>
      <c r="C83" s="617">
        <f>((C73*C84)+(C74*C85))/(C73+C74)</f>
        <v>1.1167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3.2" x14ac:dyDescent="0.25">
      <c r="A84" s="588">
        <v>4</v>
      </c>
      <c r="B84" s="669" t="s">
        <v>115</v>
      </c>
      <c r="C84" s="617">
        <v>1.1167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3.2" x14ac:dyDescent="0.25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3.2" x14ac:dyDescent="0.25">
      <c r="A86" s="588">
        <v>6</v>
      </c>
      <c r="B86" s="669" t="s">
        <v>424</v>
      </c>
      <c r="C86" s="617">
        <v>1.0768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3.2" x14ac:dyDescent="0.25">
      <c r="A87" s="588">
        <v>7</v>
      </c>
      <c r="B87" s="669" t="s">
        <v>758</v>
      </c>
      <c r="C87" s="617">
        <v>1.2588999999999999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3.2" x14ac:dyDescent="0.25">
      <c r="A88" s="588"/>
      <c r="B88" s="671" t="s">
        <v>812</v>
      </c>
      <c r="C88" s="619">
        <f>((C71*C82)+(C73*C84)+(C74*C85)+(C75*C86))/(C71+C73+C74+C75)</f>
        <v>1.3023003272652893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3.2" x14ac:dyDescent="0.25">
      <c r="A89" s="588"/>
      <c r="B89" s="671" t="s">
        <v>723</v>
      </c>
      <c r="C89" s="619">
        <f>((C70*C81)+(C71*C82)+(C73*C84)+(C74*C85)+(C75*C86))/(C70+C71+C73+C74+C75)</f>
        <v>1.25713255328663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3.2" x14ac:dyDescent="0.25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3.2" x14ac:dyDescent="0.25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3.2" x14ac:dyDescent="0.25">
      <c r="A92" s="588">
        <v>1</v>
      </c>
      <c r="B92" s="669" t="s">
        <v>814</v>
      </c>
      <c r="C92" s="589">
        <v>139793488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3.2" x14ac:dyDescent="0.25">
      <c r="A93" s="588">
        <v>2</v>
      </c>
      <c r="B93" s="669" t="s">
        <v>815</v>
      </c>
      <c r="C93" s="622">
        <v>66387251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3.2" x14ac:dyDescent="0.25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3.2" x14ac:dyDescent="0.25">
      <c r="A95" s="588">
        <v>3</v>
      </c>
      <c r="B95" s="669" t="s">
        <v>747</v>
      </c>
      <c r="C95" s="589">
        <f>+C92-C93</f>
        <v>73406237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3.2" x14ac:dyDescent="0.25">
      <c r="A96" s="588">
        <v>4</v>
      </c>
      <c r="B96" s="669" t="s">
        <v>670</v>
      </c>
      <c r="C96" s="681">
        <f>(+C92-C93)/C92</f>
        <v>0.52510483893212534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3.2" x14ac:dyDescent="0.25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3.2" x14ac:dyDescent="0.25">
      <c r="A98" s="588">
        <v>5</v>
      </c>
      <c r="B98" s="669" t="s">
        <v>762</v>
      </c>
      <c r="C98" s="589">
        <v>7264245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3.2" x14ac:dyDescent="0.25">
      <c r="A99" s="588">
        <v>6</v>
      </c>
      <c r="B99" s="669" t="s">
        <v>748</v>
      </c>
      <c r="C99" s="589">
        <v>5814245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3.2" x14ac:dyDescent="0.25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5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3.2" x14ac:dyDescent="0.25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3.2" x14ac:dyDescent="0.25">
      <c r="A103" s="588">
        <v>8</v>
      </c>
      <c r="B103" s="669" t="s">
        <v>817</v>
      </c>
      <c r="C103" s="589">
        <v>4120176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3.2" x14ac:dyDescent="0.25">
      <c r="A104" s="588">
        <v>9</v>
      </c>
      <c r="B104" s="669" t="s">
        <v>818</v>
      </c>
      <c r="C104" s="589">
        <v>2209664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3.2" x14ac:dyDescent="0.25">
      <c r="A105" s="645">
        <v>10</v>
      </c>
      <c r="B105" s="646" t="s">
        <v>819</v>
      </c>
      <c r="C105" s="654">
        <f>+C103+C104</f>
        <v>6329840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5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3.2" x14ac:dyDescent="0.25">
      <c r="A107" s="588">
        <v>11</v>
      </c>
      <c r="B107" s="669" t="s">
        <v>820</v>
      </c>
      <c r="C107" s="589">
        <v>3643010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3.2" x14ac:dyDescent="0.25">
      <c r="A108" s="588">
        <v>12</v>
      </c>
      <c r="B108" s="669" t="s">
        <v>710</v>
      </c>
      <c r="C108" s="589">
        <v>140143704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3.2" x14ac:dyDescent="0.25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3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3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3.2" x14ac:dyDescent="0.25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3.2" x14ac:dyDescent="0.25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3.2" x14ac:dyDescent="0.25">
      <c r="A114" s="588">
        <v>1</v>
      </c>
      <c r="B114" s="669" t="s">
        <v>654</v>
      </c>
      <c r="C114" s="590">
        <f>+C65</f>
        <v>134813854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3.2" x14ac:dyDescent="0.25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3.2" x14ac:dyDescent="0.25">
      <c r="A116" s="588"/>
      <c r="B116" s="671" t="s">
        <v>853</v>
      </c>
      <c r="C116" s="593">
        <f>+C114+C115</f>
        <v>134813854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3.2" x14ac:dyDescent="0.25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3.2" x14ac:dyDescent="0.25">
      <c r="A118" s="588">
        <v>3</v>
      </c>
      <c r="B118" s="669" t="s">
        <v>854</v>
      </c>
      <c r="C118" s="654">
        <v>-1269052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3.2" x14ac:dyDescent="0.25">
      <c r="A119" s="588"/>
      <c r="B119" s="671" t="s">
        <v>855</v>
      </c>
      <c r="C119" s="656">
        <f>+C116+C118</f>
        <v>133544802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3.2" x14ac:dyDescent="0.25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3.2" x14ac:dyDescent="0.25">
      <c r="A121" s="588">
        <v>4</v>
      </c>
      <c r="B121" s="669" t="s">
        <v>856</v>
      </c>
      <c r="C121" s="589">
        <v>133544821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3.2" x14ac:dyDescent="0.25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3.2" x14ac:dyDescent="0.25">
      <c r="A123" s="588"/>
      <c r="B123" s="671" t="s">
        <v>857</v>
      </c>
      <c r="C123" s="658">
        <f>C119-C121</f>
        <v>-19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3.2" x14ac:dyDescent="0.25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3.2" x14ac:dyDescent="0.25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3.2" x14ac:dyDescent="0.25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3.2" x14ac:dyDescent="0.25">
      <c r="A127" s="588">
        <v>1</v>
      </c>
      <c r="B127" s="669" t="s">
        <v>859</v>
      </c>
      <c r="C127" s="590">
        <f>C38</f>
        <v>469389961</v>
      </c>
      <c r="D127" s="664"/>
      <c r="AR127" s="485"/>
    </row>
    <row r="128" spans="1:58" s="421" customFormat="1" ht="13.2" x14ac:dyDescent="0.25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3.2" x14ac:dyDescent="0.25">
      <c r="A129" s="588"/>
      <c r="B129" s="671" t="s">
        <v>861</v>
      </c>
      <c r="C129" s="657">
        <f>C127+C128</f>
        <v>469389961</v>
      </c>
      <c r="D129" s="664"/>
      <c r="AR129" s="485"/>
    </row>
    <row r="130" spans="1:44" s="421" customFormat="1" ht="13.2" x14ac:dyDescent="0.25">
      <c r="A130" s="588"/>
      <c r="B130" s="586"/>
      <c r="C130" s="589"/>
      <c r="D130" s="664"/>
      <c r="AR130" s="485"/>
    </row>
    <row r="131" spans="1:44" s="421" customFormat="1" ht="13.2" x14ac:dyDescent="0.25">
      <c r="A131" s="588">
        <v>3</v>
      </c>
      <c r="B131" s="669" t="s">
        <v>862</v>
      </c>
      <c r="C131" s="589">
        <v>469389980</v>
      </c>
      <c r="D131" s="664"/>
      <c r="AR131" s="485"/>
    </row>
    <row r="132" spans="1:44" s="421" customFormat="1" ht="13.2" x14ac:dyDescent="0.25">
      <c r="A132" s="588"/>
      <c r="B132" s="669"/>
      <c r="C132" s="589"/>
      <c r="D132" s="664"/>
      <c r="AR132" s="485"/>
    </row>
    <row r="133" spans="1:44" s="421" customFormat="1" ht="13.2" x14ac:dyDescent="0.25">
      <c r="A133" s="588"/>
      <c r="B133" s="671" t="s">
        <v>857</v>
      </c>
      <c r="C133" s="657">
        <f>C129-C131</f>
        <v>-19</v>
      </c>
      <c r="D133" s="664"/>
      <c r="AR133" s="485"/>
    </row>
    <row r="134" spans="1:44" s="421" customFormat="1" ht="13.2" x14ac:dyDescent="0.25">
      <c r="A134" s="669"/>
      <c r="B134" s="586"/>
      <c r="C134" s="586"/>
      <c r="D134" s="664"/>
      <c r="AR134" s="485"/>
    </row>
    <row r="135" spans="1:44" s="421" customFormat="1" ht="13.2" x14ac:dyDescent="0.25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3.2" x14ac:dyDescent="0.25">
      <c r="A136" s="586"/>
      <c r="B136" s="627"/>
      <c r="C136" s="586"/>
      <c r="D136" s="664"/>
      <c r="AR136" s="485"/>
    </row>
    <row r="137" spans="1:44" s="421" customFormat="1" ht="13.2" x14ac:dyDescent="0.25">
      <c r="A137" s="588">
        <v>1</v>
      </c>
      <c r="B137" s="669" t="s">
        <v>864</v>
      </c>
      <c r="C137" s="589">
        <f>C105</f>
        <v>6329840</v>
      </c>
      <c r="D137" s="664"/>
      <c r="AR137" s="485"/>
    </row>
    <row r="138" spans="1:44" s="421" customFormat="1" ht="13.2" x14ac:dyDescent="0.25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3.2" x14ac:dyDescent="0.25">
      <c r="A139" s="588"/>
      <c r="B139" s="671" t="s">
        <v>866</v>
      </c>
      <c r="C139" s="657">
        <f>C137+C138</f>
        <v>6329840</v>
      </c>
      <c r="D139" s="664"/>
      <c r="AR139" s="485"/>
    </row>
    <row r="140" spans="1:44" s="421" customFormat="1" ht="13.2" x14ac:dyDescent="0.25">
      <c r="A140" s="588"/>
      <c r="B140" s="586"/>
      <c r="C140" s="589"/>
      <c r="D140" s="664"/>
      <c r="AR140" s="485"/>
    </row>
    <row r="141" spans="1:44" s="421" customFormat="1" ht="13.2" x14ac:dyDescent="0.25">
      <c r="A141" s="588">
        <v>3</v>
      </c>
      <c r="B141" s="669" t="s">
        <v>881</v>
      </c>
      <c r="C141" s="589">
        <v>6329840</v>
      </c>
      <c r="D141" s="664"/>
      <c r="AR141" s="485"/>
    </row>
    <row r="142" spans="1:44" s="421" customFormat="1" ht="13.2" x14ac:dyDescent="0.25">
      <c r="A142" s="588"/>
      <c r="B142" s="669"/>
      <c r="C142" s="589"/>
      <c r="D142" s="664"/>
      <c r="AR142" s="485"/>
    </row>
    <row r="143" spans="1:44" s="421" customFormat="1" ht="13.2" x14ac:dyDescent="0.25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5" bottom="0.5" header="0.25" footer="0.25"/>
  <pageSetup scale="79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sqref="A1:F1"/>
    </sheetView>
  </sheetViews>
  <sheetFormatPr defaultColWidth="9.109375" defaultRowHeight="13.2" x14ac:dyDescent="0.25"/>
  <cols>
    <col min="1" max="1" width="5.88671875" style="365" customWidth="1"/>
    <col min="2" max="2" width="60.33203125" style="365" customWidth="1"/>
    <col min="3" max="4" width="18.6640625" style="365" customWidth="1"/>
    <col min="5" max="6" width="15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.75" customHeight="1" x14ac:dyDescent="0.25">
      <c r="A1" s="829"/>
      <c r="B1" s="830"/>
      <c r="C1" s="830"/>
      <c r="D1" s="830"/>
      <c r="E1" s="830"/>
      <c r="F1" s="831"/>
    </row>
    <row r="2" spans="1:14" ht="15.75" customHeight="1" x14ac:dyDescent="0.3">
      <c r="A2" s="832" t="s">
        <v>0</v>
      </c>
      <c r="B2" s="833"/>
      <c r="C2" s="833"/>
      <c r="D2" s="833"/>
      <c r="E2" s="833"/>
      <c r="F2" s="834"/>
    </row>
    <row r="3" spans="1:14" ht="15.75" customHeight="1" x14ac:dyDescent="0.3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3">
      <c r="A4" s="832" t="s">
        <v>2</v>
      </c>
      <c r="B4" s="833"/>
      <c r="C4" s="833"/>
      <c r="D4" s="833"/>
      <c r="E4" s="833"/>
      <c r="F4" s="834"/>
    </row>
    <row r="5" spans="1:14" ht="15.75" customHeight="1" x14ac:dyDescent="0.3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3">
      <c r="A6" s="688"/>
      <c r="B6" s="688"/>
      <c r="C6" s="177"/>
      <c r="D6" s="177"/>
      <c r="E6" s="688"/>
      <c r="F6" s="688"/>
      <c r="M6" s="689"/>
    </row>
    <row r="7" spans="1:14" ht="15.75" customHeight="1" x14ac:dyDescent="0.3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3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3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3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3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5">
      <c r="A12" s="74">
        <v>1</v>
      </c>
      <c r="B12" s="698" t="s">
        <v>884</v>
      </c>
      <c r="C12" s="185">
        <v>3760</v>
      </c>
      <c r="D12" s="185">
        <v>4160</v>
      </c>
      <c r="E12" s="185">
        <f>+D12-C12</f>
        <v>400</v>
      </c>
      <c r="F12" s="77">
        <f>IF(C12=0,0,+E12/C12)</f>
        <v>0.10638297872340426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5">
      <c r="A13" s="85">
        <v>2</v>
      </c>
      <c r="B13" s="698" t="s">
        <v>885</v>
      </c>
      <c r="C13" s="185">
        <v>3760</v>
      </c>
      <c r="D13" s="185">
        <v>4160</v>
      </c>
      <c r="E13" s="185">
        <f>+D13-C13</f>
        <v>400</v>
      </c>
      <c r="F13" s="77">
        <f>IF(C13=0,0,+E13/C13)</f>
        <v>0.10638297872340426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5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3">
      <c r="A15" s="74">
        <v>3</v>
      </c>
      <c r="B15" s="702" t="s">
        <v>886</v>
      </c>
      <c r="C15" s="76">
        <v>4092111</v>
      </c>
      <c r="D15" s="76">
        <v>4120176</v>
      </c>
      <c r="E15" s="76">
        <f>+D15-C15</f>
        <v>28065</v>
      </c>
      <c r="F15" s="77">
        <f>IF(C15=0,0,+E15/C15)</f>
        <v>6.8583183593993414E-3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3">
      <c r="A16" s="74">
        <v>4</v>
      </c>
      <c r="B16" s="702" t="s">
        <v>887</v>
      </c>
      <c r="C16" s="79">
        <f>IF(C13=0,0,+C15/+C13)</f>
        <v>1088.3273936170212</v>
      </c>
      <c r="D16" s="79">
        <f>IF(D13=0,0,+D15/+D13)</f>
        <v>990.42692307692312</v>
      </c>
      <c r="E16" s="79">
        <f>+D16-C16</f>
        <v>-97.900470540098127</v>
      </c>
      <c r="F16" s="80">
        <f>IF(C16=0,0,+E16/C16)</f>
        <v>-8.9954981482850527E-2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5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5">
      <c r="A18" s="74">
        <v>5</v>
      </c>
      <c r="B18" s="703" t="s">
        <v>888</v>
      </c>
      <c r="C18" s="704">
        <v>0.30876900000000002</v>
      </c>
      <c r="D18" s="704">
        <v>0.30502099999999999</v>
      </c>
      <c r="E18" s="704">
        <f>+D18-C18</f>
        <v>-3.7480000000000291E-3</v>
      </c>
      <c r="F18" s="77">
        <f>IF(C18=0,0,+E18/C18)</f>
        <v>-1.2138524268951964E-2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3">
      <c r="A19" s="74">
        <v>6</v>
      </c>
      <c r="B19" s="702" t="s">
        <v>889</v>
      </c>
      <c r="C19" s="79">
        <f>+C15*C18</f>
        <v>1263517.0213590001</v>
      </c>
      <c r="D19" s="79">
        <f>+D15*D18</f>
        <v>1256740.2036959999</v>
      </c>
      <c r="E19" s="79">
        <f>+D19-C19</f>
        <v>-6776.8176630001981</v>
      </c>
      <c r="F19" s="80">
        <f>IF(C19=0,0,+E19/C19)</f>
        <v>-5.3634557734024519E-3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3">
      <c r="A20" s="74">
        <v>7</v>
      </c>
      <c r="B20" s="702" t="s">
        <v>890</v>
      </c>
      <c r="C20" s="79">
        <f>IF(C13=0,0,+C19/C13)</f>
        <v>336.04176099973409</v>
      </c>
      <c r="D20" s="79">
        <f>IF(D13=0,0,+D19/D13)</f>
        <v>302.10101050384611</v>
      </c>
      <c r="E20" s="79">
        <f>+D20-C20</f>
        <v>-33.940750495887983</v>
      </c>
      <c r="F20" s="80">
        <f>IF(C20=0,0,+E20/C20)</f>
        <v>-0.10100158502596003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3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5">
      <c r="A22" s="74">
        <v>8</v>
      </c>
      <c r="B22" s="705" t="s">
        <v>891</v>
      </c>
      <c r="C22" s="76">
        <v>1005876</v>
      </c>
      <c r="D22" s="76">
        <v>904208</v>
      </c>
      <c r="E22" s="76">
        <f>+D22-C22</f>
        <v>-101668</v>
      </c>
      <c r="F22" s="77">
        <f>IF(C22=0,0,+E22/C22)</f>
        <v>-0.10107408865506286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5">
      <c r="A23" s="74">
        <v>9</v>
      </c>
      <c r="B23" s="705" t="s">
        <v>892</v>
      </c>
      <c r="C23" s="185">
        <v>915255</v>
      </c>
      <c r="D23" s="185">
        <v>1162207</v>
      </c>
      <c r="E23" s="185">
        <f>+D23-C23</f>
        <v>246952</v>
      </c>
      <c r="F23" s="77">
        <f>IF(C23=0,0,+E23/C23)</f>
        <v>0.2698177010778417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5">
      <c r="A24" s="74">
        <v>10</v>
      </c>
      <c r="B24" s="705" t="s">
        <v>893</v>
      </c>
      <c r="C24" s="185">
        <v>2170980</v>
      </c>
      <c r="D24" s="185">
        <v>2053761</v>
      </c>
      <c r="E24" s="185">
        <f>+D24-C24</f>
        <v>-117219</v>
      </c>
      <c r="F24" s="77">
        <f>IF(C24=0,0,+E24/C24)</f>
        <v>-5.3993588149130807E-2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3">
      <c r="A25" s="74">
        <v>11</v>
      </c>
      <c r="B25" s="702" t="s">
        <v>894</v>
      </c>
      <c r="C25" s="79">
        <f>+C22+C23+C24</f>
        <v>4092111</v>
      </c>
      <c r="D25" s="79">
        <f>+D22+D23+D24</f>
        <v>4120176</v>
      </c>
      <c r="E25" s="79">
        <f>+E22+E23+E24</f>
        <v>28065</v>
      </c>
      <c r="F25" s="80">
        <f>IF(C25=0,0,+E25/C25)</f>
        <v>6.8583183593993414E-3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3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5">
      <c r="A27" s="74">
        <v>12</v>
      </c>
      <c r="B27" s="705" t="s">
        <v>895</v>
      </c>
      <c r="C27" s="185">
        <v>185</v>
      </c>
      <c r="D27" s="185">
        <v>159</v>
      </c>
      <c r="E27" s="185">
        <f>+D27-C27</f>
        <v>-26</v>
      </c>
      <c r="F27" s="77">
        <f>IF(C27=0,0,+E27/C27)</f>
        <v>-0.14054054054054055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5">
      <c r="A28" s="74">
        <v>13</v>
      </c>
      <c r="B28" s="705" t="s">
        <v>896</v>
      </c>
      <c r="C28" s="185">
        <v>50</v>
      </c>
      <c r="D28" s="185">
        <v>51</v>
      </c>
      <c r="E28" s="185">
        <f>+D28-C28</f>
        <v>1</v>
      </c>
      <c r="F28" s="77">
        <f>IF(C28=0,0,+E28/C28)</f>
        <v>0.02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5">
      <c r="A29" s="74">
        <v>14</v>
      </c>
      <c r="B29" s="705" t="s">
        <v>897</v>
      </c>
      <c r="C29" s="185">
        <v>2114</v>
      </c>
      <c r="D29" s="185">
        <v>2291</v>
      </c>
      <c r="E29" s="185">
        <f>+D29-C29</f>
        <v>177</v>
      </c>
      <c r="F29" s="77">
        <f>IF(C29=0,0,+E29/C29)</f>
        <v>8.372753074739829E-2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5">
      <c r="A30" s="74">
        <v>15</v>
      </c>
      <c r="B30" s="705" t="s">
        <v>898</v>
      </c>
      <c r="C30" s="185">
        <v>1495</v>
      </c>
      <c r="D30" s="185">
        <v>1679</v>
      </c>
      <c r="E30" s="185">
        <f>+D30-C30</f>
        <v>184</v>
      </c>
      <c r="F30" s="77">
        <f>IF(C30=0,0,+E30/C30)</f>
        <v>0.12307692307692308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5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3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5">
      <c r="A33" s="74">
        <v>1</v>
      </c>
      <c r="B33" s="705" t="s">
        <v>900</v>
      </c>
      <c r="C33" s="76">
        <v>674412</v>
      </c>
      <c r="D33" s="76">
        <v>673616</v>
      </c>
      <c r="E33" s="76">
        <f>+D33-C33</f>
        <v>-796</v>
      </c>
      <c r="F33" s="77">
        <f>IF(C33=0,0,+E33/C33)</f>
        <v>-1.1802874207457756E-3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5">
      <c r="A34" s="74">
        <v>2</v>
      </c>
      <c r="B34" s="705" t="s">
        <v>901</v>
      </c>
      <c r="C34" s="185">
        <v>1459658</v>
      </c>
      <c r="D34" s="185">
        <v>1457936</v>
      </c>
      <c r="E34" s="185">
        <f>+D34-C34</f>
        <v>-1722</v>
      </c>
      <c r="F34" s="77">
        <f>IF(C34=0,0,+E34/C34)</f>
        <v>-1.1797284021325544E-3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5">
      <c r="A35" s="74">
        <v>3</v>
      </c>
      <c r="B35" s="705" t="s">
        <v>902</v>
      </c>
      <c r="C35" s="185">
        <v>78204</v>
      </c>
      <c r="D35" s="185">
        <v>78112</v>
      </c>
      <c r="E35" s="185">
        <f>+D35-C35</f>
        <v>-92</v>
      </c>
      <c r="F35" s="77">
        <f>IF(C35=0,0,+E35/C35)</f>
        <v>-1.1764104137895761E-3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3">
      <c r="A36" s="74">
        <v>4</v>
      </c>
      <c r="B36" s="702" t="s">
        <v>903</v>
      </c>
      <c r="C36" s="79">
        <f>+C33+C34+C35</f>
        <v>2212274</v>
      </c>
      <c r="D36" s="79">
        <f>+D33+D34+D35</f>
        <v>2209664</v>
      </c>
      <c r="E36" s="79">
        <f>+E33+E34+E35</f>
        <v>-2610</v>
      </c>
      <c r="F36" s="80">
        <f>IF(C36=0,0,+E36/C36)</f>
        <v>-1.1797815279662464E-3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3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3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5">
      <c r="A39" s="74">
        <v>1</v>
      </c>
      <c r="B39" s="698" t="s">
        <v>905</v>
      </c>
      <c r="C39" s="76">
        <f>+C25</f>
        <v>4092111</v>
      </c>
      <c r="D39" s="76">
        <f>+D25</f>
        <v>4120176</v>
      </c>
      <c r="E39" s="76">
        <f>+D39-C39</f>
        <v>28065</v>
      </c>
      <c r="F39" s="77">
        <f>IF(C39=0,0,+E39/C39)</f>
        <v>6.8583183593993414E-3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5">
      <c r="A40" s="74">
        <v>2</v>
      </c>
      <c r="B40" s="698" t="s">
        <v>906</v>
      </c>
      <c r="C40" s="185">
        <f>+C36</f>
        <v>2212274</v>
      </c>
      <c r="D40" s="185">
        <f>+D36</f>
        <v>2209664</v>
      </c>
      <c r="E40" s="185">
        <f>+D40-C40</f>
        <v>-2610</v>
      </c>
      <c r="F40" s="77">
        <f>IF(C40=0,0,+E40/C40)</f>
        <v>-1.1797815279662464E-3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3">
      <c r="A41" s="74">
        <v>3</v>
      </c>
      <c r="B41" s="707" t="s">
        <v>907</v>
      </c>
      <c r="C41" s="79">
        <f>+C39+C40</f>
        <v>6304385</v>
      </c>
      <c r="D41" s="79">
        <f>+D39+D40</f>
        <v>6329840</v>
      </c>
      <c r="E41" s="79">
        <f>+E39+E40</f>
        <v>25455</v>
      </c>
      <c r="F41" s="80">
        <f>IF(C41=0,0,+E41/C41)</f>
        <v>4.0376658468669032E-3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3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5">
      <c r="A43" s="74">
        <v>4</v>
      </c>
      <c r="B43" s="705" t="s">
        <v>908</v>
      </c>
      <c r="C43" s="76">
        <f t="shared" ref="C43:D45" si="0">+C22+C33</f>
        <v>1680288</v>
      </c>
      <c r="D43" s="76">
        <f t="shared" si="0"/>
        <v>1577824</v>
      </c>
      <c r="E43" s="76">
        <f>+D43-C43</f>
        <v>-102464</v>
      </c>
      <c r="F43" s="77">
        <f>IF(C43=0,0,+E43/C43)</f>
        <v>-6.0980022472338073E-2</v>
      </c>
      <c r="G43" s="699"/>
      <c r="H43" s="700"/>
      <c r="I43" s="701"/>
      <c r="J43" s="396"/>
      <c r="K43" s="396"/>
      <c r="L43" s="396"/>
      <c r="M43" s="396"/>
    </row>
    <row r="44" spans="1:13" ht="30" x14ac:dyDescent="0.25">
      <c r="A44" s="74">
        <v>5</v>
      </c>
      <c r="B44" s="705" t="s">
        <v>909</v>
      </c>
      <c r="C44" s="185">
        <f t="shared" si="0"/>
        <v>2374913</v>
      </c>
      <c r="D44" s="185">
        <f t="shared" si="0"/>
        <v>2620143</v>
      </c>
      <c r="E44" s="185">
        <f>+D44-C44</f>
        <v>245230</v>
      </c>
      <c r="F44" s="77">
        <f>IF(C44=0,0,+E44/C44)</f>
        <v>0.10325851936470935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5">
      <c r="A45" s="74">
        <v>6</v>
      </c>
      <c r="B45" s="705" t="s">
        <v>910</v>
      </c>
      <c r="C45" s="185">
        <f t="shared" si="0"/>
        <v>2249184</v>
      </c>
      <c r="D45" s="185">
        <f t="shared" si="0"/>
        <v>2131873</v>
      </c>
      <c r="E45" s="185">
        <f>+D45-C45</f>
        <v>-117311</v>
      </c>
      <c r="F45" s="77">
        <f>IF(C45=0,0,+E45/C45)</f>
        <v>-5.215713787755915E-2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3">
      <c r="A46" s="74">
        <v>7</v>
      </c>
      <c r="B46" s="702" t="s">
        <v>907</v>
      </c>
      <c r="C46" s="79">
        <f>+C43+C44+C45</f>
        <v>6304385</v>
      </c>
      <c r="D46" s="79">
        <f>+D43+D44+D45</f>
        <v>6329840</v>
      </c>
      <c r="E46" s="79">
        <f>+E43+E44+E45</f>
        <v>25455</v>
      </c>
      <c r="F46" s="80">
        <f>IF(C46=0,0,+E46/C46)</f>
        <v>4.0376658468669032E-3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3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3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75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sqref="A1:F1"/>
    </sheetView>
  </sheetViews>
  <sheetFormatPr defaultColWidth="9.109375" defaultRowHeight="13.2" x14ac:dyDescent="0.25"/>
  <cols>
    <col min="1" max="1" width="6.6640625" style="365" customWidth="1"/>
    <col min="2" max="2" width="50.6640625" style="365" customWidth="1"/>
    <col min="3" max="4" width="25.6640625" style="365" customWidth="1"/>
    <col min="5" max="6" width="20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" customHeight="1" x14ac:dyDescent="0.25">
      <c r="A1" s="688"/>
      <c r="B1" s="688"/>
      <c r="C1" s="688"/>
      <c r="D1" s="688"/>
      <c r="E1" s="688"/>
      <c r="F1" s="688"/>
    </row>
    <row r="2" spans="1:14" ht="15.75" customHeight="1" x14ac:dyDescent="0.3">
      <c r="A2" s="832" t="s">
        <v>0</v>
      </c>
      <c r="B2" s="833"/>
      <c r="C2" s="833"/>
      <c r="D2" s="833"/>
      <c r="E2" s="833"/>
      <c r="F2" s="834"/>
    </row>
    <row r="3" spans="1:14" ht="15.75" customHeight="1" x14ac:dyDescent="0.3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3">
      <c r="A4" s="832" t="s">
        <v>2</v>
      </c>
      <c r="B4" s="833"/>
      <c r="C4" s="833"/>
      <c r="D4" s="833"/>
      <c r="E4" s="833"/>
      <c r="F4" s="834"/>
    </row>
    <row r="5" spans="1:14" ht="15.75" customHeight="1" x14ac:dyDescent="0.3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3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3">
      <c r="A7" s="688"/>
      <c r="B7" s="688"/>
      <c r="C7" s="177"/>
      <c r="D7" s="177"/>
      <c r="E7" s="177"/>
      <c r="F7" s="177"/>
    </row>
    <row r="8" spans="1:14" ht="15.75" customHeight="1" x14ac:dyDescent="0.3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3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3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3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3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3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3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5">
      <c r="A15" s="74">
        <v>1</v>
      </c>
      <c r="B15" s="698" t="s">
        <v>335</v>
      </c>
      <c r="C15" s="76">
        <v>129119183</v>
      </c>
      <c r="D15" s="76">
        <v>139793488</v>
      </c>
      <c r="E15" s="76">
        <f>+D15-C15</f>
        <v>10674305</v>
      </c>
      <c r="F15" s="77">
        <f>IF(C15=0,0,E15/C15)</f>
        <v>8.26701714802517E-2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5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5">
      <c r="A17" s="85">
        <v>2</v>
      </c>
      <c r="B17" s="698" t="s">
        <v>917</v>
      </c>
      <c r="C17" s="76">
        <v>63377870</v>
      </c>
      <c r="D17" s="76">
        <v>73406237</v>
      </c>
      <c r="E17" s="76">
        <f>+D17-C17</f>
        <v>10028367</v>
      </c>
      <c r="F17" s="77">
        <f>IF(C17=0,0,E17/C17)</f>
        <v>0.15823136687932238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3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3">
      <c r="A19" s="71"/>
      <c r="B19" s="707" t="s">
        <v>918</v>
      </c>
      <c r="C19" s="79">
        <f>+C15-C17</f>
        <v>65741313</v>
      </c>
      <c r="D19" s="79">
        <f>+D15-D17</f>
        <v>66387251</v>
      </c>
      <c r="E19" s="79">
        <f>+D19-C19</f>
        <v>645938</v>
      </c>
      <c r="F19" s="80">
        <f>IF(C19=0,0,E19/C19)</f>
        <v>9.8254502461792934E-3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3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3">
      <c r="A21" s="71"/>
      <c r="B21" s="719" t="s">
        <v>919</v>
      </c>
      <c r="C21" s="720">
        <f>IF(C15=0,0,C17/C15)</f>
        <v>0.49084782390545328</v>
      </c>
      <c r="D21" s="720">
        <f>IF(D15=0,0,D17/D15)</f>
        <v>0.52510483893212534</v>
      </c>
      <c r="E21" s="720">
        <f>+D21-C21</f>
        <v>3.4257015026672055E-2</v>
      </c>
      <c r="F21" s="80">
        <f>IF(C21=0,0,E21/C21)</f>
        <v>6.9791518589416457E-2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3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3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3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3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6" x14ac:dyDescent="0.3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3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5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5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5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5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5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5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5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5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5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5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5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5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5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5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3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67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opLeftCell="A45" zoomScale="75" workbookViewId="0">
      <selection sqref="A1:F1"/>
    </sheetView>
  </sheetViews>
  <sheetFormatPr defaultColWidth="9.109375" defaultRowHeight="13.2" x14ac:dyDescent="0.25"/>
  <cols>
    <col min="1" max="1" width="9.44140625" style="733" customWidth="1"/>
    <col min="2" max="2" width="83.5546875" style="733" customWidth="1"/>
    <col min="3" max="5" width="18.88671875" style="733" customWidth="1"/>
    <col min="6" max="16384" width="9.109375" style="733"/>
  </cols>
  <sheetData>
    <row r="1" spans="1:6" ht="26.1" customHeight="1" x14ac:dyDescent="0.3">
      <c r="A1" s="838" t="s">
        <v>0</v>
      </c>
      <c r="B1" s="838"/>
      <c r="C1" s="838"/>
      <c r="D1" s="838"/>
      <c r="E1" s="838"/>
      <c r="F1" s="732"/>
    </row>
    <row r="2" spans="1:6" ht="26.1" customHeight="1" x14ac:dyDescent="0.3">
      <c r="A2" s="838" t="s">
        <v>1</v>
      </c>
      <c r="B2" s="838"/>
      <c r="C2" s="838"/>
      <c r="D2" s="838"/>
      <c r="E2" s="838"/>
      <c r="F2" s="732"/>
    </row>
    <row r="3" spans="1:6" ht="26.1" customHeight="1" x14ac:dyDescent="0.3">
      <c r="A3" s="838" t="s">
        <v>2</v>
      </c>
      <c r="B3" s="838"/>
      <c r="C3" s="838"/>
      <c r="D3" s="838"/>
      <c r="E3" s="838"/>
      <c r="F3" s="732"/>
    </row>
    <row r="4" spans="1:6" ht="26.1" customHeight="1" x14ac:dyDescent="0.3">
      <c r="A4" s="838" t="s">
        <v>921</v>
      </c>
      <c r="B4" s="838"/>
      <c r="C4" s="838"/>
      <c r="D4" s="838"/>
      <c r="E4" s="838"/>
      <c r="F4" s="732"/>
    </row>
    <row r="5" spans="1:6" ht="26.1" customHeight="1" x14ac:dyDescent="0.25">
      <c r="A5" s="839"/>
      <c r="B5" s="839"/>
      <c r="C5" s="839"/>
      <c r="D5" s="839"/>
      <c r="E5" s="839"/>
    </row>
    <row r="6" spans="1:6" ht="26.1" customHeight="1" x14ac:dyDescent="0.3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3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3">
      <c r="A8" s="738"/>
      <c r="B8" s="736"/>
      <c r="C8" s="739"/>
      <c r="D8" s="739"/>
      <c r="E8" s="739"/>
    </row>
    <row r="9" spans="1:6" ht="26.1" customHeight="1" x14ac:dyDescent="0.3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3">
      <c r="A10" s="742">
        <v>1</v>
      </c>
      <c r="B10" s="743" t="s">
        <v>931</v>
      </c>
      <c r="C10" s="744">
        <v>164804213</v>
      </c>
      <c r="D10" s="744">
        <v>156850034</v>
      </c>
      <c r="E10" s="744">
        <v>156659157</v>
      </c>
    </row>
    <row r="11" spans="1:6" ht="26.1" customHeight="1" x14ac:dyDescent="0.3">
      <c r="A11" s="742">
        <v>2</v>
      </c>
      <c r="B11" s="743" t="s">
        <v>932</v>
      </c>
      <c r="C11" s="744">
        <v>288287925</v>
      </c>
      <c r="D11" s="744">
        <v>287258616</v>
      </c>
      <c r="E11" s="744">
        <v>312730804</v>
      </c>
    </row>
    <row r="12" spans="1:6" ht="26.1" customHeight="1" x14ac:dyDescent="0.3">
      <c r="A12" s="742">
        <v>3</v>
      </c>
      <c r="B12" s="743" t="s">
        <v>71</v>
      </c>
      <c r="C12" s="744">
        <f>+C11+C10</f>
        <v>453092138</v>
      </c>
      <c r="D12" s="744">
        <f>+D11+D10</f>
        <v>444108650</v>
      </c>
      <c r="E12" s="744">
        <f>+E11+E10</f>
        <v>469389961</v>
      </c>
    </row>
    <row r="13" spans="1:6" ht="26.1" customHeight="1" x14ac:dyDescent="0.3">
      <c r="A13" s="742">
        <v>4</v>
      </c>
      <c r="B13" s="743" t="s">
        <v>507</v>
      </c>
      <c r="C13" s="744">
        <v>137976406</v>
      </c>
      <c r="D13" s="744">
        <v>133327930</v>
      </c>
      <c r="E13" s="744">
        <v>133544821</v>
      </c>
    </row>
    <row r="14" spans="1:6" ht="26.1" customHeight="1" x14ac:dyDescent="0.3">
      <c r="A14" s="742"/>
      <c r="B14" s="743"/>
      <c r="C14" s="744"/>
      <c r="D14" s="744"/>
      <c r="E14" s="744"/>
    </row>
    <row r="15" spans="1:6" ht="26.1" customHeight="1" x14ac:dyDescent="0.3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3">
      <c r="A16" s="742">
        <v>1</v>
      </c>
      <c r="B16" s="743" t="s">
        <v>933</v>
      </c>
      <c r="C16" s="744">
        <v>141228949</v>
      </c>
      <c r="D16" s="744">
        <v>136633273</v>
      </c>
      <c r="E16" s="744">
        <v>140143704</v>
      </c>
    </row>
    <row r="17" spans="1:5" ht="26.1" customHeight="1" x14ac:dyDescent="0.3">
      <c r="A17" s="742"/>
      <c r="B17" s="743"/>
      <c r="C17" s="744"/>
      <c r="D17" s="744"/>
      <c r="E17" s="744"/>
    </row>
    <row r="18" spans="1:5" ht="26.1" customHeight="1" x14ac:dyDescent="0.3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3">
      <c r="A19" s="742">
        <v>1</v>
      </c>
      <c r="B19" s="743" t="s">
        <v>380</v>
      </c>
      <c r="C19" s="747">
        <v>29830</v>
      </c>
      <c r="D19" s="747">
        <v>28080</v>
      </c>
      <c r="E19" s="747">
        <v>25693</v>
      </c>
    </row>
    <row r="20" spans="1:5" ht="26.1" customHeight="1" x14ac:dyDescent="0.3">
      <c r="A20" s="742">
        <v>2</v>
      </c>
      <c r="B20" s="743" t="s">
        <v>381</v>
      </c>
      <c r="C20" s="748">
        <v>7349</v>
      </c>
      <c r="D20" s="748">
        <v>7071</v>
      </c>
      <c r="E20" s="748">
        <v>6709</v>
      </c>
    </row>
    <row r="21" spans="1:5" ht="26.1" customHeight="1" x14ac:dyDescent="0.3">
      <c r="A21" s="742">
        <v>3</v>
      </c>
      <c r="B21" s="743" t="s">
        <v>935</v>
      </c>
      <c r="C21" s="749">
        <f>IF(C20=0,0,+C19/C20)</f>
        <v>4.0590556538304527</v>
      </c>
      <c r="D21" s="749">
        <f>IF(D20=0,0,+D19/D20)</f>
        <v>3.9711497666525246</v>
      </c>
      <c r="E21" s="749">
        <f>IF(E20=0,0,+E19/E20)</f>
        <v>3.8296318378297807</v>
      </c>
    </row>
    <row r="22" spans="1:5" ht="26.1" customHeight="1" x14ac:dyDescent="0.3">
      <c r="A22" s="742">
        <v>4</v>
      </c>
      <c r="B22" s="743" t="s">
        <v>936</v>
      </c>
      <c r="C22" s="748">
        <f>IF(C10=0,0,C19*(C12/C10))</f>
        <v>82010.879640194631</v>
      </c>
      <c r="D22" s="748">
        <f>IF(D10=0,0,D19*(D12/D10))</f>
        <v>79506.332092985074</v>
      </c>
      <c r="E22" s="748">
        <f>IF(E10=0,0,E19*(E12/E10))</f>
        <v>76982.644991336187</v>
      </c>
    </row>
    <row r="23" spans="1:5" ht="26.1" customHeight="1" x14ac:dyDescent="0.3">
      <c r="A23" s="742">
        <v>0</v>
      </c>
      <c r="B23" s="743" t="s">
        <v>937</v>
      </c>
      <c r="C23" s="748">
        <f>IF(C10=0,0,C20*(C12/C10))</f>
        <v>20204.423549305746</v>
      </c>
      <c r="D23" s="748">
        <f>IF(D10=0,0,D20*(D12/D10))</f>
        <v>20020.985549483528</v>
      </c>
      <c r="E23" s="748">
        <f>IF(E10=0,0,E20*(E12/E10))</f>
        <v>20101.839615727029</v>
      </c>
    </row>
    <row r="24" spans="1:5" ht="26.1" customHeight="1" x14ac:dyDescent="0.3">
      <c r="A24" s="742"/>
      <c r="B24" s="743"/>
      <c r="C24" s="748"/>
      <c r="D24" s="748"/>
      <c r="E24" s="748"/>
    </row>
    <row r="25" spans="1:5" ht="26.1" customHeight="1" x14ac:dyDescent="0.3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3">
      <c r="A26" s="742">
        <v>1</v>
      </c>
      <c r="B26" s="743" t="s">
        <v>428</v>
      </c>
      <c r="C26" s="750">
        <v>1.141638236494761</v>
      </c>
      <c r="D26" s="750">
        <v>1.1116689859991515</v>
      </c>
      <c r="E26" s="750">
        <v>1.25713255328663</v>
      </c>
    </row>
    <row r="27" spans="1:5" ht="26.1" customHeight="1" x14ac:dyDescent="0.3">
      <c r="A27" s="742">
        <v>2</v>
      </c>
      <c r="B27" s="743" t="s">
        <v>939</v>
      </c>
      <c r="C27" s="748">
        <f>C19*C26</f>
        <v>34055.068594638724</v>
      </c>
      <c r="D27" s="748">
        <f>D19*D26</f>
        <v>31215.665126856176</v>
      </c>
      <c r="E27" s="748">
        <f>E19*E26</f>
        <v>32299.506691593386</v>
      </c>
    </row>
    <row r="28" spans="1:5" ht="26.1" customHeight="1" x14ac:dyDescent="0.3">
      <c r="A28" s="742">
        <v>3</v>
      </c>
      <c r="B28" s="743" t="s">
        <v>940</v>
      </c>
      <c r="C28" s="748">
        <f>C20*C26</f>
        <v>8389.8993999999984</v>
      </c>
      <c r="D28" s="748">
        <f>D20*D26</f>
        <v>7860.6114000000007</v>
      </c>
      <c r="E28" s="748">
        <f>E20*E26</f>
        <v>8434.1023000000005</v>
      </c>
    </row>
    <row r="29" spans="1:5" ht="26.1" customHeight="1" x14ac:dyDescent="0.3">
      <c r="A29" s="742">
        <v>4</v>
      </c>
      <c r="B29" s="743" t="s">
        <v>941</v>
      </c>
      <c r="C29" s="748">
        <f>C22*C26</f>
        <v>93626.7560058159</v>
      </c>
      <c r="D29" s="748">
        <f>D22*D26</f>
        <v>88384.723578320511</v>
      </c>
      <c r="E29" s="748">
        <f>E22*E26</f>
        <v>96777.389056716653</v>
      </c>
    </row>
    <row r="30" spans="1:5" ht="26.1" customHeight="1" x14ac:dyDescent="0.3">
      <c r="A30" s="742">
        <v>5</v>
      </c>
      <c r="B30" s="743" t="s">
        <v>942</v>
      </c>
      <c r="C30" s="748">
        <f>C23*C26</f>
        <v>23066.142470222632</v>
      </c>
      <c r="D30" s="748">
        <f>D23*D26</f>
        <v>22256.708704498018</v>
      </c>
      <c r="E30" s="748">
        <f>E23*E26</f>
        <v>25270.676961877249</v>
      </c>
    </row>
    <row r="31" spans="1:5" ht="26.1" customHeight="1" x14ac:dyDescent="0.3">
      <c r="A31" s="742"/>
      <c r="B31" s="743"/>
      <c r="C31" s="748"/>
      <c r="D31" s="748"/>
      <c r="E31" s="748"/>
    </row>
    <row r="32" spans="1:5" ht="39" customHeight="1" x14ac:dyDescent="0.3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3">
      <c r="A33" s="742">
        <v>1</v>
      </c>
      <c r="B33" s="743" t="s">
        <v>944</v>
      </c>
      <c r="C33" s="744">
        <f>IF(C19=0,0,C12/C19)</f>
        <v>15189.143077438819</v>
      </c>
      <c r="D33" s="744">
        <f>IF(D19=0,0,D12/D19)</f>
        <v>15815.835113960115</v>
      </c>
      <c r="E33" s="744">
        <f>IF(E19=0,0,E12/E19)</f>
        <v>18269.176857509829</v>
      </c>
    </row>
    <row r="34" spans="1:5" ht="26.1" customHeight="1" x14ac:dyDescent="0.3">
      <c r="A34" s="742">
        <v>2</v>
      </c>
      <c r="B34" s="743" t="s">
        <v>945</v>
      </c>
      <c r="C34" s="744">
        <f>IF(C20=0,0,C12/C20)</f>
        <v>61653.577085317731</v>
      </c>
      <c r="D34" s="744">
        <f>IF(D20=0,0,D12/D20)</f>
        <v>62807.049922217506</v>
      </c>
      <c r="E34" s="744">
        <f>IF(E20=0,0,E12/E20)</f>
        <v>69964.221344462669</v>
      </c>
    </row>
    <row r="35" spans="1:5" ht="26.1" customHeight="1" x14ac:dyDescent="0.3">
      <c r="A35" s="742">
        <v>3</v>
      </c>
      <c r="B35" s="743" t="s">
        <v>946</v>
      </c>
      <c r="C35" s="744">
        <f>IF(C22=0,0,C12/C22)</f>
        <v>5524.7808581964464</v>
      </c>
      <c r="D35" s="744">
        <f>IF(D22=0,0,D12/D22)</f>
        <v>5585.8274216524214</v>
      </c>
      <c r="E35" s="744">
        <f>IF(E22=0,0,E12/E22)</f>
        <v>6097.3477990114043</v>
      </c>
    </row>
    <row r="36" spans="1:5" ht="26.1" customHeight="1" x14ac:dyDescent="0.3">
      <c r="A36" s="742">
        <v>4</v>
      </c>
      <c r="B36" s="743" t="s">
        <v>947</v>
      </c>
      <c r="C36" s="744">
        <f>IF(C23=0,0,C12/C23)</f>
        <v>22425.392978636548</v>
      </c>
      <c r="D36" s="744">
        <f>IF(D23=0,0,D12/D23)</f>
        <v>22182.157262056284</v>
      </c>
      <c r="E36" s="744">
        <f>IF(E23=0,0,E12/E23)</f>
        <v>23350.597257415411</v>
      </c>
    </row>
    <row r="37" spans="1:5" ht="26.1" customHeight="1" x14ac:dyDescent="0.3">
      <c r="A37" s="742">
        <v>5</v>
      </c>
      <c r="B37" s="743" t="s">
        <v>948</v>
      </c>
      <c r="C37" s="744">
        <f>IF(C29=0,0,C12/C29)</f>
        <v>4839.3446203759841</v>
      </c>
      <c r="D37" s="744">
        <f>IF(D29=0,0,D12/D29)</f>
        <v>5024.7218299716833</v>
      </c>
      <c r="E37" s="744">
        <f>IF(E29=0,0,E12/E29)</f>
        <v>4850.2027754118553</v>
      </c>
    </row>
    <row r="38" spans="1:5" ht="26.1" customHeight="1" x14ac:dyDescent="0.3">
      <c r="A38" s="742">
        <v>6</v>
      </c>
      <c r="B38" s="743" t="s">
        <v>949</v>
      </c>
      <c r="C38" s="744">
        <f>IF(C30=0,0,C12/C30)</f>
        <v>19643.169142171122</v>
      </c>
      <c r="D38" s="744">
        <f>IF(D30=0,0,D12/D30)</f>
        <v>19953.922922585894</v>
      </c>
      <c r="E38" s="744">
        <f>IF(E30=0,0,E12/E30)</f>
        <v>18574.490968647602</v>
      </c>
    </row>
    <row r="39" spans="1:5" ht="26.1" customHeight="1" x14ac:dyDescent="0.3">
      <c r="A39" s="742">
        <v>7</v>
      </c>
      <c r="B39" s="743" t="s">
        <v>950</v>
      </c>
      <c r="C39" s="744">
        <f>IF(C22=0,0,C10/C22)</f>
        <v>2009.5408526654462</v>
      </c>
      <c r="D39" s="744">
        <f>IF(D22=0,0,D10/D22)</f>
        <v>1972.7992710889885</v>
      </c>
      <c r="E39" s="744">
        <f>IF(E22=0,0,E10/E22)</f>
        <v>2034.993173040895</v>
      </c>
    </row>
    <row r="40" spans="1:5" ht="26.1" customHeight="1" x14ac:dyDescent="0.3">
      <c r="A40" s="742">
        <v>8</v>
      </c>
      <c r="B40" s="743" t="s">
        <v>951</v>
      </c>
      <c r="C40" s="744">
        <f>IF(C23=0,0,C10/C23)</f>
        <v>8156.8381596149484</v>
      </c>
      <c r="D40" s="744">
        <f>IF(D23=0,0,D10/D23)</f>
        <v>7834.2813650373064</v>
      </c>
      <c r="E40" s="744">
        <f>IF(E23=0,0,E10/E23)</f>
        <v>7793.2746452436595</v>
      </c>
    </row>
    <row r="41" spans="1:5" ht="26.1" customHeight="1" x14ac:dyDescent="0.3">
      <c r="A41" s="742"/>
      <c r="B41" s="743"/>
      <c r="C41" s="744"/>
      <c r="D41" s="744"/>
      <c r="E41" s="744"/>
    </row>
    <row r="42" spans="1:5" ht="39.75" customHeight="1" x14ac:dyDescent="0.3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3">
      <c r="A43" s="742">
        <v>1</v>
      </c>
      <c r="B43" s="743" t="s">
        <v>953</v>
      </c>
      <c r="C43" s="744">
        <f>IF(C19=0,0,C13/C19)</f>
        <v>4625.4242708682532</v>
      </c>
      <c r="D43" s="744">
        <f>IF(D19=0,0,D13/D19)</f>
        <v>4748.145655270655</v>
      </c>
      <c r="E43" s="744">
        <f>IF(E19=0,0,E13/E19)</f>
        <v>5197.7122562565683</v>
      </c>
    </row>
    <row r="44" spans="1:5" ht="26.1" customHeight="1" x14ac:dyDescent="0.3">
      <c r="A44" s="742">
        <v>2</v>
      </c>
      <c r="B44" s="743" t="s">
        <v>954</v>
      </c>
      <c r="C44" s="744">
        <f>IF(C20=0,0,C13/C20)</f>
        <v>18774.854538032385</v>
      </c>
      <c r="D44" s="744">
        <f>IF(D20=0,0,D13/D20)</f>
        <v>18855.597510960259</v>
      </c>
      <c r="E44" s="744">
        <f>IF(E20=0,0,E13/E20)</f>
        <v>19905.324340438216</v>
      </c>
    </row>
    <row r="45" spans="1:5" ht="26.1" customHeight="1" x14ac:dyDescent="0.3">
      <c r="A45" s="742">
        <v>3</v>
      </c>
      <c r="B45" s="743" t="s">
        <v>955</v>
      </c>
      <c r="C45" s="744">
        <f>IF(C22=0,0,C13/C22)</f>
        <v>1682.4158770804834</v>
      </c>
      <c r="D45" s="744">
        <f>IF(D22=0,0,D13/D22)</f>
        <v>1676.9473133796303</v>
      </c>
      <c r="E45" s="744">
        <f>IF(E22=0,0,E13/E22)</f>
        <v>1734.7393170893188</v>
      </c>
    </row>
    <row r="46" spans="1:5" ht="26.1" customHeight="1" x14ac:dyDescent="0.3">
      <c r="A46" s="742">
        <v>4</v>
      </c>
      <c r="B46" s="743" t="s">
        <v>956</v>
      </c>
      <c r="C46" s="744">
        <f>IF(C23=0,0,C13/C23)</f>
        <v>6829.0196779576554</v>
      </c>
      <c r="D46" s="744">
        <f>IF(D23=0,0,D13/D23)</f>
        <v>6659.4089322160962</v>
      </c>
      <c r="E46" s="744">
        <f>IF(E23=0,0,E13/E23)</f>
        <v>6643.4129190603453</v>
      </c>
    </row>
    <row r="47" spans="1:5" ht="26.1" customHeight="1" x14ac:dyDescent="0.3">
      <c r="A47" s="742">
        <v>5</v>
      </c>
      <c r="B47" s="743" t="s">
        <v>957</v>
      </c>
      <c r="C47" s="744">
        <f>IF(C29=0,0,C13/C29)</f>
        <v>1473.6856416495857</v>
      </c>
      <c r="D47" s="744">
        <f>IF(D29=0,0,D13/D29)</f>
        <v>1508.4951856171604</v>
      </c>
      <c r="E47" s="744">
        <f>IF(E29=0,0,E13/E29)</f>
        <v>1379.9175851059144</v>
      </c>
    </row>
    <row r="48" spans="1:5" ht="26.1" customHeight="1" x14ac:dyDescent="0.3">
      <c r="A48" s="742">
        <v>6</v>
      </c>
      <c r="B48" s="743" t="s">
        <v>958</v>
      </c>
      <c r="C48" s="744">
        <f>IF(C30=0,0,C13/C30)</f>
        <v>5981.7720357065091</v>
      </c>
      <c r="D48" s="744">
        <f>IF(D30=0,0,D13/D30)</f>
        <v>5990.4603043600428</v>
      </c>
      <c r="E48" s="744">
        <f>IF(E30=0,0,E13/E30)</f>
        <v>5284.5763175027951</v>
      </c>
    </row>
    <row r="49" spans="1:6" ht="26.1" customHeight="1" x14ac:dyDescent="0.3">
      <c r="A49" s="742"/>
      <c r="B49" s="743"/>
      <c r="C49" s="744"/>
      <c r="D49" s="744"/>
      <c r="E49" s="744"/>
    </row>
    <row r="50" spans="1:6" ht="37.5" customHeight="1" x14ac:dyDescent="0.3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3">
      <c r="A51" s="742">
        <v>1</v>
      </c>
      <c r="B51" s="743" t="s">
        <v>960</v>
      </c>
      <c r="C51" s="744">
        <f>IF(C19=0,0,C16/C19)</f>
        <v>4734.4602413677503</v>
      </c>
      <c r="D51" s="744">
        <f>IF(D19=0,0,D16/D19)</f>
        <v>4865.8573005698008</v>
      </c>
      <c r="E51" s="744">
        <f>IF(E19=0,0,E16/E19)</f>
        <v>5454.5480870275951</v>
      </c>
    </row>
    <row r="52" spans="1:6" ht="26.1" customHeight="1" x14ac:dyDescent="0.3">
      <c r="A52" s="742">
        <v>2</v>
      </c>
      <c r="B52" s="743" t="s">
        <v>961</v>
      </c>
      <c r="C52" s="744">
        <f>IF(C20=0,0,C16/C20)</f>
        <v>19217.43761055926</v>
      </c>
      <c r="D52" s="744">
        <f>IF(D20=0,0,D16/D20)</f>
        <v>19323.048083722246</v>
      </c>
      <c r="E52" s="744">
        <f>IF(E20=0,0,E16/E20)</f>
        <v>20888.911015054404</v>
      </c>
    </row>
    <row r="53" spans="1:6" ht="26.1" customHeight="1" x14ac:dyDescent="0.3">
      <c r="A53" s="742">
        <v>3</v>
      </c>
      <c r="B53" s="743" t="s">
        <v>962</v>
      </c>
      <c r="C53" s="744">
        <f>IF(C22=0,0,C16/C22)</f>
        <v>1722.0757735999432</v>
      </c>
      <c r="D53" s="744">
        <f>IF(D22=0,0,D16/D22)</f>
        <v>1718.5206436161993</v>
      </c>
      <c r="E53" s="744">
        <f>IF(E22=0,0,E16/E22)</f>
        <v>1820.458416514165</v>
      </c>
    </row>
    <row r="54" spans="1:6" ht="26.1" customHeight="1" x14ac:dyDescent="0.3">
      <c r="A54" s="742">
        <v>4</v>
      </c>
      <c r="B54" s="743" t="s">
        <v>963</v>
      </c>
      <c r="C54" s="744">
        <f>IF(C23=0,0,C16/C23)</f>
        <v>6990.0014051552998</v>
      </c>
      <c r="D54" s="744">
        <f>IF(D23=0,0,D16/D23)</f>
        <v>6824.5028528840157</v>
      </c>
      <c r="E54" s="744">
        <f>IF(E23=0,0,E16/E23)</f>
        <v>6971.6855113278343</v>
      </c>
    </row>
    <row r="55" spans="1:6" ht="26.1" customHeight="1" x14ac:dyDescent="0.3">
      <c r="A55" s="742">
        <v>5</v>
      </c>
      <c r="B55" s="743" t="s">
        <v>964</v>
      </c>
      <c r="C55" s="744">
        <f>IF(C29=0,0,C16/C29)</f>
        <v>1508.4251022349547</v>
      </c>
      <c r="D55" s="744">
        <f>IF(D29=0,0,D16/D29)</f>
        <v>1545.892406156873</v>
      </c>
      <c r="E55" s="744">
        <f>IF(E29=0,0,E16/E29)</f>
        <v>1448.1037912468212</v>
      </c>
    </row>
    <row r="56" spans="1:6" ht="26.1" customHeight="1" x14ac:dyDescent="0.3">
      <c r="A56" s="742">
        <v>6</v>
      </c>
      <c r="B56" s="743" t="s">
        <v>965</v>
      </c>
      <c r="C56" s="744">
        <f>IF(C30=0,0,C16/C30)</f>
        <v>6122.7814396065714</v>
      </c>
      <c r="D56" s="744">
        <f>IF(D30=0,0,D16/D30)</f>
        <v>6138.9702679797756</v>
      </c>
      <c r="E56" s="744">
        <f>IF(E30=0,0,E16/E30)</f>
        <v>5545.704383440836</v>
      </c>
    </row>
    <row r="57" spans="1:6" ht="26.1" customHeight="1" x14ac:dyDescent="0.3">
      <c r="A57" s="742"/>
      <c r="B57" s="743"/>
      <c r="C57" s="744"/>
      <c r="D57" s="744"/>
      <c r="E57" s="744"/>
    </row>
    <row r="58" spans="1:6" ht="26.1" customHeight="1" x14ac:dyDescent="0.3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3">
      <c r="A59" s="742">
        <v>1</v>
      </c>
      <c r="B59" s="743" t="s">
        <v>967</v>
      </c>
      <c r="C59" s="752">
        <v>22096741</v>
      </c>
      <c r="D59" s="752">
        <v>22908235</v>
      </c>
      <c r="E59" s="752">
        <v>21706040</v>
      </c>
    </row>
    <row r="60" spans="1:6" ht="26.1" customHeight="1" x14ac:dyDescent="0.3">
      <c r="A60" s="742">
        <v>2</v>
      </c>
      <c r="B60" s="743" t="s">
        <v>968</v>
      </c>
      <c r="C60" s="752">
        <v>6023785</v>
      </c>
      <c r="D60" s="752">
        <v>5723680</v>
      </c>
      <c r="E60" s="752">
        <v>6218956</v>
      </c>
    </row>
    <row r="61" spans="1:6" ht="26.1" customHeight="1" x14ac:dyDescent="0.3">
      <c r="A61" s="753">
        <v>3</v>
      </c>
      <c r="B61" s="754" t="s">
        <v>969</v>
      </c>
      <c r="C61" s="755">
        <f>C59+C60</f>
        <v>28120526</v>
      </c>
      <c r="D61" s="755">
        <f>D59+D60</f>
        <v>28631915</v>
      </c>
      <c r="E61" s="755">
        <f>E59+E60</f>
        <v>27924996</v>
      </c>
    </row>
    <row r="62" spans="1:6" ht="26.1" customHeight="1" x14ac:dyDescent="0.3">
      <c r="A62" s="742"/>
      <c r="B62" s="743"/>
      <c r="C62" s="752"/>
      <c r="D62" s="752"/>
      <c r="E62" s="752"/>
    </row>
    <row r="63" spans="1:6" ht="26.1" customHeight="1" x14ac:dyDescent="0.3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3">
      <c r="A64" s="742">
        <v>1</v>
      </c>
      <c r="B64" s="743" t="s">
        <v>971</v>
      </c>
      <c r="C64" s="744">
        <v>380804</v>
      </c>
      <c r="D64" s="744">
        <v>499496</v>
      </c>
      <c r="E64" s="752">
        <v>500850</v>
      </c>
      <c r="F64" s="756"/>
    </row>
    <row r="65" spans="1:6" ht="26.1" customHeight="1" x14ac:dyDescent="0.3">
      <c r="A65" s="742">
        <v>2</v>
      </c>
      <c r="B65" s="743" t="s">
        <v>972</v>
      </c>
      <c r="C65" s="752">
        <v>103811</v>
      </c>
      <c r="D65" s="752">
        <v>124800</v>
      </c>
      <c r="E65" s="752">
        <v>143498</v>
      </c>
      <c r="F65" s="756"/>
    </row>
    <row r="66" spans="1:6" ht="26.1" customHeight="1" x14ac:dyDescent="0.3">
      <c r="A66" s="753">
        <v>3</v>
      </c>
      <c r="B66" s="754" t="s">
        <v>973</v>
      </c>
      <c r="C66" s="757">
        <f>C64+C65</f>
        <v>484615</v>
      </c>
      <c r="D66" s="757">
        <f>D64+D65</f>
        <v>624296</v>
      </c>
      <c r="E66" s="757">
        <f>E64+E65</f>
        <v>644348</v>
      </c>
      <c r="F66" s="758"/>
    </row>
    <row r="67" spans="1:6" ht="26.1" customHeight="1" x14ac:dyDescent="0.3">
      <c r="A67" s="742"/>
      <c r="B67" s="743"/>
      <c r="C67" s="752"/>
      <c r="D67" s="752"/>
      <c r="E67" s="752"/>
    </row>
    <row r="68" spans="1:6" ht="26.1" customHeight="1" x14ac:dyDescent="0.3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3">
      <c r="A69" s="742">
        <v>1</v>
      </c>
      <c r="B69" s="743" t="s">
        <v>975</v>
      </c>
      <c r="C69" s="752">
        <v>35401998</v>
      </c>
      <c r="D69" s="752">
        <v>33579398</v>
      </c>
      <c r="E69" s="752">
        <v>32536369</v>
      </c>
    </row>
    <row r="70" spans="1:6" ht="26.1" customHeight="1" x14ac:dyDescent="0.3">
      <c r="A70" s="742">
        <v>2</v>
      </c>
      <c r="B70" s="743" t="s">
        <v>976</v>
      </c>
      <c r="C70" s="752">
        <v>9650926</v>
      </c>
      <c r="D70" s="752">
        <v>8389897</v>
      </c>
      <c r="E70" s="752">
        <v>9321933</v>
      </c>
    </row>
    <row r="71" spans="1:6" ht="26.1" customHeight="1" x14ac:dyDescent="0.3">
      <c r="A71" s="753">
        <v>3</v>
      </c>
      <c r="B71" s="754" t="s">
        <v>977</v>
      </c>
      <c r="C71" s="755">
        <f>C69+C70</f>
        <v>45052924</v>
      </c>
      <c r="D71" s="755">
        <f>D69+D70</f>
        <v>41969295</v>
      </c>
      <c r="E71" s="755">
        <f>E69+E70</f>
        <v>41858302</v>
      </c>
    </row>
    <row r="72" spans="1:6" ht="26.1" customHeight="1" x14ac:dyDescent="0.3">
      <c r="A72" s="742"/>
      <c r="B72" s="743"/>
      <c r="C72" s="752"/>
      <c r="D72" s="752"/>
      <c r="E72" s="752"/>
    </row>
    <row r="73" spans="1:6" ht="26.1" customHeight="1" x14ac:dyDescent="0.3">
      <c r="A73" s="742"/>
      <c r="B73" s="743"/>
      <c r="C73" s="752"/>
      <c r="D73" s="752"/>
      <c r="E73" s="752"/>
    </row>
    <row r="74" spans="1:6" ht="26.1" customHeight="1" x14ac:dyDescent="0.3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3">
      <c r="A75" s="742">
        <v>1</v>
      </c>
      <c r="B75" s="743" t="s">
        <v>979</v>
      </c>
      <c r="C75" s="744">
        <f t="shared" ref="C75:E76" si="0">+C59+C64+C69</f>
        <v>57879543</v>
      </c>
      <c r="D75" s="744">
        <f t="shared" si="0"/>
        <v>56987129</v>
      </c>
      <c r="E75" s="744">
        <f t="shared" si="0"/>
        <v>54743259</v>
      </c>
    </row>
    <row r="76" spans="1:6" ht="26.1" customHeight="1" x14ac:dyDescent="0.3">
      <c r="A76" s="742">
        <v>2</v>
      </c>
      <c r="B76" s="743" t="s">
        <v>980</v>
      </c>
      <c r="C76" s="744">
        <f t="shared" si="0"/>
        <v>15778522</v>
      </c>
      <c r="D76" s="744">
        <f t="shared" si="0"/>
        <v>14238377</v>
      </c>
      <c r="E76" s="744">
        <f t="shared" si="0"/>
        <v>15684387</v>
      </c>
    </row>
    <row r="77" spans="1:6" ht="26.1" customHeight="1" x14ac:dyDescent="0.3">
      <c r="A77" s="753">
        <v>3</v>
      </c>
      <c r="B77" s="754" t="s">
        <v>978</v>
      </c>
      <c r="C77" s="757">
        <f>C75+C76</f>
        <v>73658065</v>
      </c>
      <c r="D77" s="757">
        <f>D75+D76</f>
        <v>71225506</v>
      </c>
      <c r="E77" s="757">
        <f>E75+E76</f>
        <v>70427646</v>
      </c>
    </row>
    <row r="78" spans="1:6" ht="26.1" customHeight="1" x14ac:dyDescent="0.3">
      <c r="A78" s="753"/>
      <c r="B78" s="754"/>
      <c r="C78" s="757"/>
      <c r="D78" s="757"/>
      <c r="E78" s="757"/>
    </row>
    <row r="79" spans="1:6" ht="26.1" customHeight="1" x14ac:dyDescent="0.3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3">
      <c r="A80" s="742">
        <v>1</v>
      </c>
      <c r="B80" s="743" t="s">
        <v>616</v>
      </c>
      <c r="C80" s="749">
        <v>235.5</v>
      </c>
      <c r="D80" s="749">
        <v>233.3</v>
      </c>
      <c r="E80" s="749">
        <v>229.8</v>
      </c>
    </row>
    <row r="81" spans="1:5" ht="26.1" customHeight="1" x14ac:dyDescent="0.3">
      <c r="A81" s="742">
        <v>2</v>
      </c>
      <c r="B81" s="743" t="s">
        <v>617</v>
      </c>
      <c r="C81" s="749">
        <v>1.2</v>
      </c>
      <c r="D81" s="749">
        <v>1.7</v>
      </c>
      <c r="E81" s="749">
        <v>1.8</v>
      </c>
    </row>
    <row r="82" spans="1:5" ht="26.1" customHeight="1" x14ac:dyDescent="0.3">
      <c r="A82" s="742">
        <v>3</v>
      </c>
      <c r="B82" s="743" t="s">
        <v>982</v>
      </c>
      <c r="C82" s="749">
        <v>659.2</v>
      </c>
      <c r="D82" s="749">
        <v>636.79999999999995</v>
      </c>
      <c r="E82" s="749">
        <v>617.20000000000005</v>
      </c>
    </row>
    <row r="83" spans="1:5" ht="26.1" customHeight="1" x14ac:dyDescent="0.3">
      <c r="A83" s="753">
        <v>4</v>
      </c>
      <c r="B83" s="754" t="s">
        <v>981</v>
      </c>
      <c r="C83" s="759">
        <f>C80+C81+C82</f>
        <v>895.90000000000009</v>
      </c>
      <c r="D83" s="759">
        <f>D80+D81+D82</f>
        <v>871.8</v>
      </c>
      <c r="E83" s="759">
        <f>E80+E81+E82</f>
        <v>848.80000000000007</v>
      </c>
    </row>
    <row r="84" spans="1:5" ht="26.1" customHeight="1" x14ac:dyDescent="0.3">
      <c r="A84" s="742"/>
      <c r="B84" s="743"/>
      <c r="C84" s="760"/>
      <c r="D84" s="760"/>
      <c r="E84" s="760"/>
    </row>
    <row r="85" spans="1:5" ht="26.1" customHeight="1" x14ac:dyDescent="0.3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3">
      <c r="A86" s="742">
        <v>1</v>
      </c>
      <c r="B86" s="743" t="s">
        <v>984</v>
      </c>
      <c r="C86" s="752">
        <f>IF(C80=0,0,C59/C80)</f>
        <v>93829.048832271757</v>
      </c>
      <c r="D86" s="752">
        <f>IF(D80=0,0,D59/D80)</f>
        <v>98192.177453921977</v>
      </c>
      <c r="E86" s="752">
        <f>IF(E80=0,0,E59/E80)</f>
        <v>94456.222802436896</v>
      </c>
    </row>
    <row r="87" spans="1:5" ht="26.1" customHeight="1" x14ac:dyDescent="0.3">
      <c r="A87" s="742">
        <v>2</v>
      </c>
      <c r="B87" s="743" t="s">
        <v>985</v>
      </c>
      <c r="C87" s="752">
        <f>IF(C80=0,0,C60/C80)</f>
        <v>25578.704883227176</v>
      </c>
      <c r="D87" s="752">
        <f>IF(D80=0,0,D60/D80)</f>
        <v>24533.561937419629</v>
      </c>
      <c r="E87" s="752">
        <f>IF(E80=0,0,E60/E80)</f>
        <v>27062.471714534375</v>
      </c>
    </row>
    <row r="88" spans="1:5" ht="26.1" customHeight="1" x14ac:dyDescent="0.3">
      <c r="A88" s="753">
        <v>3</v>
      </c>
      <c r="B88" s="754" t="s">
        <v>986</v>
      </c>
      <c r="C88" s="755">
        <f>+C86+C87</f>
        <v>119407.75371549893</v>
      </c>
      <c r="D88" s="755">
        <f>+D86+D87</f>
        <v>122725.7393913416</v>
      </c>
      <c r="E88" s="755">
        <f>+E86+E87</f>
        <v>121518.69451697127</v>
      </c>
    </row>
    <row r="89" spans="1:5" ht="26.1" customHeight="1" x14ac:dyDescent="0.3">
      <c r="A89" s="742"/>
      <c r="B89" s="743"/>
      <c r="C89" s="752"/>
      <c r="D89" s="752"/>
      <c r="E89" s="752"/>
    </row>
    <row r="90" spans="1:5" ht="26.1" customHeight="1" x14ac:dyDescent="0.3">
      <c r="A90" s="731" t="s">
        <v>462</v>
      </c>
      <c r="B90" s="745" t="s">
        <v>987</v>
      </c>
    </row>
    <row r="91" spans="1:5" ht="26.1" customHeight="1" x14ac:dyDescent="0.3">
      <c r="A91" s="742">
        <v>1</v>
      </c>
      <c r="B91" s="743" t="s">
        <v>988</v>
      </c>
      <c r="C91" s="744">
        <f>IF(C81=0,0,C64/C81)</f>
        <v>317336.66666666669</v>
      </c>
      <c r="D91" s="744">
        <f>IF(D81=0,0,D64/D81)</f>
        <v>293821.17647058825</v>
      </c>
      <c r="E91" s="744">
        <f>IF(E81=0,0,E64/E81)</f>
        <v>278250</v>
      </c>
    </row>
    <row r="92" spans="1:5" ht="26.1" customHeight="1" x14ac:dyDescent="0.3">
      <c r="A92" s="742">
        <v>2</v>
      </c>
      <c r="B92" s="743" t="s">
        <v>989</v>
      </c>
      <c r="C92" s="744">
        <f>IF(C81=0,0,C65/C81)</f>
        <v>86509.166666666672</v>
      </c>
      <c r="D92" s="744">
        <f>IF(D81=0,0,D65/D81)</f>
        <v>73411.76470588235</v>
      </c>
      <c r="E92" s="744">
        <f>IF(E81=0,0,E65/E81)</f>
        <v>79721.111111111109</v>
      </c>
    </row>
    <row r="93" spans="1:5" ht="26.1" customHeight="1" x14ac:dyDescent="0.3">
      <c r="A93" s="753">
        <v>3</v>
      </c>
      <c r="B93" s="754" t="s">
        <v>990</v>
      </c>
      <c r="C93" s="757">
        <f>+C91+C92</f>
        <v>403845.83333333337</v>
      </c>
      <c r="D93" s="757">
        <f>+D91+D92</f>
        <v>367232.9411764706</v>
      </c>
      <c r="E93" s="757">
        <f>+E91+E92</f>
        <v>357971.11111111112</v>
      </c>
    </row>
    <row r="94" spans="1:5" ht="26.1" customHeight="1" x14ac:dyDescent="0.3">
      <c r="A94" s="742"/>
      <c r="B94" s="743"/>
      <c r="C94" s="752"/>
      <c r="D94" s="752"/>
      <c r="E94" s="752"/>
    </row>
    <row r="95" spans="1:5" ht="26.1" customHeight="1" x14ac:dyDescent="0.3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3">
      <c r="A96" s="742">
        <v>1</v>
      </c>
      <c r="B96" s="743" t="s">
        <v>993</v>
      </c>
      <c r="C96" s="752">
        <f>IF(C82=0,0,C69/C82)</f>
        <v>53704.487257281551</v>
      </c>
      <c r="D96" s="752">
        <f>IF(D82=0,0,D69/D82)</f>
        <v>52731.466708542721</v>
      </c>
      <c r="E96" s="752">
        <f>IF(E82=0,0,E69/E82)</f>
        <v>52716.087167854821</v>
      </c>
    </row>
    <row r="97" spans="1:5" ht="26.1" customHeight="1" x14ac:dyDescent="0.3">
      <c r="A97" s="742">
        <v>2</v>
      </c>
      <c r="B97" s="743" t="s">
        <v>994</v>
      </c>
      <c r="C97" s="752">
        <f>IF(C82=0,0,C70/C82)</f>
        <v>14640.36104368932</v>
      </c>
      <c r="D97" s="752">
        <f>IF(D82=0,0,D70/D82)</f>
        <v>13175.089510050253</v>
      </c>
      <c r="E97" s="752">
        <f>IF(E82=0,0,E70/E82)</f>
        <v>15103.585547634477</v>
      </c>
    </row>
    <row r="98" spans="1:5" ht="26.1" customHeight="1" x14ac:dyDescent="0.3">
      <c r="A98" s="753">
        <v>3</v>
      </c>
      <c r="B98" s="754" t="s">
        <v>995</v>
      </c>
      <c r="C98" s="757">
        <f>+C96+C97</f>
        <v>68344.848300970873</v>
      </c>
      <c r="D98" s="757">
        <f>+D96+D97</f>
        <v>65906.556218592974</v>
      </c>
      <c r="E98" s="757">
        <f>+E96+E97</f>
        <v>67819.672715489301</v>
      </c>
    </row>
    <row r="99" spans="1:5" ht="26.1" customHeight="1" x14ac:dyDescent="0.3">
      <c r="A99" s="742"/>
      <c r="B99" s="743"/>
      <c r="C99" s="752"/>
      <c r="D99" s="752"/>
      <c r="E99" s="752"/>
    </row>
    <row r="100" spans="1:5" ht="26.1" customHeight="1" x14ac:dyDescent="0.3">
      <c r="A100" s="731" t="s">
        <v>996</v>
      </c>
      <c r="B100" s="745" t="s">
        <v>997</v>
      </c>
    </row>
    <row r="101" spans="1:5" ht="26.1" customHeight="1" x14ac:dyDescent="0.3">
      <c r="A101" s="742">
        <v>1</v>
      </c>
      <c r="B101" s="743" t="s">
        <v>998</v>
      </c>
      <c r="C101" s="744">
        <f>IF(C83=0,0,C75/C83)</f>
        <v>64604.914611005683</v>
      </c>
      <c r="D101" s="744">
        <f>IF(D83=0,0,D75/D83)</f>
        <v>65367.204634090391</v>
      </c>
      <c r="E101" s="744">
        <f>IF(E83=0,0,E75/E83)</f>
        <v>64494.885721017905</v>
      </c>
    </row>
    <row r="102" spans="1:5" ht="26.1" customHeight="1" x14ac:dyDescent="0.3">
      <c r="A102" s="742">
        <v>2</v>
      </c>
      <c r="B102" s="743" t="s">
        <v>999</v>
      </c>
      <c r="C102" s="761">
        <f>IF(C83=0,0,C76/C83)</f>
        <v>17611.92320571492</v>
      </c>
      <c r="D102" s="761">
        <f>IF(D83=0,0,D76/D83)</f>
        <v>16332.159899059418</v>
      </c>
      <c r="E102" s="761">
        <f>IF(E83=0,0,E76/E83)</f>
        <v>18478.307021677661</v>
      </c>
    </row>
    <row r="103" spans="1:5" ht="26.1" customHeight="1" x14ac:dyDescent="0.3">
      <c r="A103" s="753">
        <v>3</v>
      </c>
      <c r="B103" s="754" t="s">
        <v>997</v>
      </c>
      <c r="C103" s="757">
        <f>+C101+C102</f>
        <v>82216.837816720596</v>
      </c>
      <c r="D103" s="757">
        <f>+D101+D102</f>
        <v>81699.364533149812</v>
      </c>
      <c r="E103" s="757">
        <f>+E101+E102</f>
        <v>82973.192742695566</v>
      </c>
    </row>
    <row r="104" spans="1:5" ht="26.1" customHeight="1" x14ac:dyDescent="0.3">
      <c r="A104" s="753"/>
      <c r="B104" s="754"/>
      <c r="C104" s="757"/>
      <c r="D104" s="757"/>
      <c r="E104" s="757"/>
    </row>
    <row r="105" spans="1:5" ht="26.1" customHeight="1" x14ac:dyDescent="0.3">
      <c r="A105" s="753"/>
      <c r="B105" s="754"/>
      <c r="C105" s="757"/>
      <c r="D105" s="757"/>
      <c r="E105" s="757"/>
    </row>
    <row r="106" spans="1:5" ht="26.1" customHeight="1" x14ac:dyDescent="0.3">
      <c r="A106" s="753"/>
      <c r="B106" s="754"/>
      <c r="C106" s="757"/>
      <c r="D106" s="757"/>
      <c r="E106" s="757"/>
    </row>
    <row r="107" spans="1:5" ht="30" customHeight="1" x14ac:dyDescent="0.3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3">
      <c r="A108" s="742">
        <v>1</v>
      </c>
      <c r="B108" s="743" t="s">
        <v>1002</v>
      </c>
      <c r="C108" s="744">
        <f>IF(C19=0,0,C77/C19)</f>
        <v>2469.2613141133088</v>
      </c>
      <c r="D108" s="744">
        <f>IF(D19=0,0,D77/D19)</f>
        <v>2536.5208689458691</v>
      </c>
      <c r="E108" s="744">
        <f>IF(E19=0,0,E77/E19)</f>
        <v>2741.1219398279686</v>
      </c>
    </row>
    <row r="109" spans="1:5" ht="26.1" customHeight="1" x14ac:dyDescent="0.3">
      <c r="A109" s="742">
        <v>2</v>
      </c>
      <c r="B109" s="743" t="s">
        <v>1003</v>
      </c>
      <c r="C109" s="744">
        <f>IF(C20=0,0,C77/C20)</f>
        <v>10022.869097836441</v>
      </c>
      <c r="D109" s="744">
        <f>IF(D20=0,0,D77/D20)</f>
        <v>10072.904256823645</v>
      </c>
      <c r="E109" s="744">
        <f>IF(E20=0,0,E77/E20)</f>
        <v>10497.487852138918</v>
      </c>
    </row>
    <row r="110" spans="1:5" ht="26.1" customHeight="1" x14ac:dyDescent="0.3">
      <c r="A110" s="742">
        <v>3</v>
      </c>
      <c r="B110" s="743" t="s">
        <v>1004</v>
      </c>
      <c r="C110" s="744">
        <f>IF(C22=0,0,C77/C22)</f>
        <v>898.14992014668258</v>
      </c>
      <c r="D110" s="744">
        <f>IF(D22=0,0,D77/D22)</f>
        <v>895.84696117913734</v>
      </c>
      <c r="E110" s="744">
        <f>IF(E22=0,0,E77/E22)</f>
        <v>914.8509512491562</v>
      </c>
    </row>
    <row r="111" spans="1:5" ht="26.1" customHeight="1" x14ac:dyDescent="0.3">
      <c r="A111" s="742">
        <v>4</v>
      </c>
      <c r="B111" s="743" t="s">
        <v>1005</v>
      </c>
      <c r="C111" s="744">
        <f>IF(C23=0,0,C77/C23)</f>
        <v>3645.6405113587616</v>
      </c>
      <c r="D111" s="744">
        <f>IF(D23=0,0,D77/D23)</f>
        <v>3557.5424508429041</v>
      </c>
      <c r="E111" s="744">
        <f>IF(E23=0,0,E77/E23)</f>
        <v>3503.5423297726288</v>
      </c>
    </row>
    <row r="112" spans="1:5" ht="26.1" customHeight="1" x14ac:dyDescent="0.3">
      <c r="A112" s="742">
        <v>5</v>
      </c>
      <c r="B112" s="743" t="s">
        <v>1006</v>
      </c>
      <c r="C112" s="744">
        <f>IF(C29=0,0,C77/C29)</f>
        <v>786.72025115795441</v>
      </c>
      <c r="D112" s="744">
        <f>IF(D29=0,0,D77/D29)</f>
        <v>805.85765408752809</v>
      </c>
      <c r="E112" s="744">
        <f>IF(E29=0,0,E77/E29)</f>
        <v>727.72831222720515</v>
      </c>
    </row>
    <row r="113" spans="1:7" ht="25.5" customHeight="1" x14ac:dyDescent="0.3">
      <c r="A113" s="742">
        <v>6</v>
      </c>
      <c r="B113" s="743" t="s">
        <v>1007</v>
      </c>
      <c r="C113" s="744">
        <f>IF(C30=0,0,C77/C30)</f>
        <v>3193.3412834456085</v>
      </c>
      <c r="D113" s="744">
        <f>IF(D30=0,0,D77/D30)</f>
        <v>3200.1814349848378</v>
      </c>
      <c r="E113" s="744">
        <f>IF(E30=0,0,E77/E30)</f>
        <v>2786.9315137954354</v>
      </c>
    </row>
    <row r="116" spans="1:7" x14ac:dyDescent="0.25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3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3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3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3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3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3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3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3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r:id="rId1"/>
  <headerFooter>
    <oddHeader>&amp;LOFFICE OF HEALTH CARE ACCESS&amp;CTWELVE MONTHS ACTUAL FILING&amp;RBRISTOL HOSPITAL</oddHeader>
    <oddFooter>&amp;LREPORT 450&amp;CPAGE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sqref="A1:F1"/>
    </sheetView>
  </sheetViews>
  <sheetFormatPr defaultColWidth="9.109375" defaultRowHeight="23.1" customHeight="1" x14ac:dyDescent="0.25"/>
  <cols>
    <col min="1" max="1" width="6.6640625" style="56" customWidth="1"/>
    <col min="2" max="2" width="54.44140625" style="56" customWidth="1"/>
    <col min="3" max="4" width="18.88671875" style="56" customWidth="1"/>
    <col min="5" max="6" width="18.88671875" style="91" customWidth="1"/>
    <col min="7" max="7" width="12.6640625" style="56" customWidth="1"/>
    <col min="8" max="16384" width="9.109375" style="56"/>
  </cols>
  <sheetData>
    <row r="1" spans="1:8" ht="23.1" customHeight="1" x14ac:dyDescent="0.3">
      <c r="A1" s="766" t="s">
        <v>0</v>
      </c>
      <c r="B1" s="767"/>
      <c r="C1" s="767"/>
      <c r="D1" s="767"/>
      <c r="E1" s="767"/>
      <c r="F1" s="768"/>
    </row>
    <row r="2" spans="1:8" ht="23.1" customHeight="1" x14ac:dyDescent="0.3">
      <c r="A2" s="766" t="s">
        <v>1</v>
      </c>
      <c r="B2" s="767"/>
      <c r="C2" s="767"/>
      <c r="D2" s="767"/>
      <c r="E2" s="767"/>
      <c r="F2" s="768"/>
    </row>
    <row r="3" spans="1:8" ht="23.1" customHeight="1" x14ac:dyDescent="0.3">
      <c r="A3" s="766" t="s">
        <v>2</v>
      </c>
      <c r="B3" s="767"/>
      <c r="C3" s="767"/>
      <c r="D3" s="767"/>
      <c r="E3" s="767"/>
      <c r="F3" s="768"/>
    </row>
    <row r="4" spans="1:8" ht="23.1" customHeight="1" x14ac:dyDescent="0.3">
      <c r="A4" s="766" t="s">
        <v>69</v>
      </c>
      <c r="B4" s="767"/>
      <c r="C4" s="767"/>
      <c r="D4" s="767"/>
      <c r="E4" s="767"/>
      <c r="F4" s="768"/>
    </row>
    <row r="5" spans="1:8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3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3">
      <c r="A8" s="67"/>
      <c r="B8" s="67"/>
      <c r="C8" s="68"/>
      <c r="D8" s="68"/>
      <c r="E8" s="69"/>
      <c r="F8" s="69"/>
    </row>
    <row r="9" spans="1:8" ht="12.75" customHeight="1" x14ac:dyDescent="0.25">
      <c r="A9" s="70"/>
      <c r="B9" s="70"/>
      <c r="C9" s="70"/>
      <c r="D9" s="70"/>
      <c r="E9" s="67"/>
      <c r="F9" s="67"/>
    </row>
    <row r="10" spans="1:8" ht="15.75" customHeight="1" x14ac:dyDescent="0.3">
      <c r="A10" s="71"/>
      <c r="B10" s="72"/>
      <c r="C10" s="68"/>
      <c r="D10" s="68"/>
      <c r="E10" s="73"/>
      <c r="F10" s="73"/>
    </row>
    <row r="11" spans="1:8" ht="15.75" customHeight="1" x14ac:dyDescent="0.3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5">
      <c r="A12" s="74">
        <v>1</v>
      </c>
      <c r="B12" s="75" t="s">
        <v>71</v>
      </c>
      <c r="C12" s="76">
        <v>444108678</v>
      </c>
      <c r="D12" s="76">
        <v>469389979</v>
      </c>
      <c r="E12" s="76">
        <f t="shared" ref="E12:E21" si="0">D12-C12</f>
        <v>25281301</v>
      </c>
      <c r="F12" s="77">
        <f t="shared" ref="F12:F21" si="1">IF(C12=0,0,E12/C12)</f>
        <v>5.692593334102785E-2</v>
      </c>
    </row>
    <row r="13" spans="1:8" ht="23.1" customHeight="1" x14ac:dyDescent="0.25">
      <c r="A13" s="74">
        <v>2</v>
      </c>
      <c r="B13" s="75" t="s">
        <v>72</v>
      </c>
      <c r="C13" s="76">
        <v>304476363</v>
      </c>
      <c r="D13" s="76">
        <v>329515319</v>
      </c>
      <c r="E13" s="76">
        <f t="shared" si="0"/>
        <v>25038956</v>
      </c>
      <c r="F13" s="77">
        <f t="shared" si="1"/>
        <v>8.2236124188070386E-2</v>
      </c>
    </row>
    <row r="14" spans="1:8" ht="23.1" customHeight="1" x14ac:dyDescent="0.25">
      <c r="A14" s="74">
        <v>3</v>
      </c>
      <c r="B14" s="75" t="s">
        <v>73</v>
      </c>
      <c r="C14" s="76">
        <v>4092111</v>
      </c>
      <c r="D14" s="76">
        <v>4120176</v>
      </c>
      <c r="E14" s="76">
        <f t="shared" si="0"/>
        <v>28065</v>
      </c>
      <c r="F14" s="77">
        <f t="shared" si="1"/>
        <v>6.8583183593993414E-3</v>
      </c>
    </row>
    <row r="15" spans="1:8" ht="23.1" customHeight="1" x14ac:dyDescent="0.25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3">
      <c r="A16" s="71"/>
      <c r="B16" s="78" t="s">
        <v>75</v>
      </c>
      <c r="C16" s="79">
        <f>C12-C13-C14-C15</f>
        <v>135540204</v>
      </c>
      <c r="D16" s="79">
        <f>D12-D13-D14-D15</f>
        <v>135754484</v>
      </c>
      <c r="E16" s="79">
        <f t="shared" si="0"/>
        <v>214280</v>
      </c>
      <c r="F16" s="80">
        <f t="shared" si="1"/>
        <v>1.5809331377426583E-3</v>
      </c>
    </row>
    <row r="17" spans="1:7" ht="23.1" customHeight="1" x14ac:dyDescent="0.25">
      <c r="A17" s="74">
        <v>5</v>
      </c>
      <c r="B17" s="75" t="s">
        <v>76</v>
      </c>
      <c r="C17" s="76">
        <v>2212274</v>
      </c>
      <c r="D17" s="76">
        <v>2209663</v>
      </c>
      <c r="E17" s="76">
        <f t="shared" si="0"/>
        <v>-2611</v>
      </c>
      <c r="F17" s="77">
        <f t="shared" si="1"/>
        <v>-1.18023355154018E-3</v>
      </c>
      <c r="G17" s="65"/>
    </row>
    <row r="18" spans="1:7" ht="31.5" customHeight="1" x14ac:dyDescent="0.3">
      <c r="A18" s="71"/>
      <c r="B18" s="81" t="s">
        <v>77</v>
      </c>
      <c r="C18" s="79">
        <f>C16-C17</f>
        <v>133327930</v>
      </c>
      <c r="D18" s="79">
        <f>D16-D17</f>
        <v>133544821</v>
      </c>
      <c r="E18" s="79">
        <f t="shared" si="0"/>
        <v>216891</v>
      </c>
      <c r="F18" s="80">
        <f t="shared" si="1"/>
        <v>1.6267484239798817E-3</v>
      </c>
    </row>
    <row r="19" spans="1:7" ht="23.1" customHeight="1" x14ac:dyDescent="0.25">
      <c r="A19" s="74">
        <v>6</v>
      </c>
      <c r="B19" s="75" t="s">
        <v>78</v>
      </c>
      <c r="C19" s="76">
        <v>3838007</v>
      </c>
      <c r="D19" s="76">
        <v>3643010</v>
      </c>
      <c r="E19" s="76">
        <f t="shared" si="0"/>
        <v>-194997</v>
      </c>
      <c r="F19" s="77">
        <f t="shared" si="1"/>
        <v>-5.0806838028174518E-2</v>
      </c>
      <c r="G19" s="65"/>
    </row>
    <row r="20" spans="1:7" ht="33" customHeight="1" x14ac:dyDescent="0.25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3">
      <c r="A21" s="71"/>
      <c r="B21" s="78" t="s">
        <v>80</v>
      </c>
      <c r="C21" s="79">
        <f>SUM(C18:C20)</f>
        <v>137165937</v>
      </c>
      <c r="D21" s="79">
        <f>SUM(D18:D20)</f>
        <v>137187831</v>
      </c>
      <c r="E21" s="79">
        <f t="shared" si="0"/>
        <v>21894</v>
      </c>
      <c r="F21" s="80">
        <f t="shared" si="1"/>
        <v>1.5961688797416228E-4</v>
      </c>
    </row>
    <row r="22" spans="1:7" ht="15.75" customHeight="1" x14ac:dyDescent="0.3">
      <c r="A22" s="74"/>
      <c r="B22" s="78"/>
      <c r="C22" s="76"/>
      <c r="D22" s="76"/>
      <c r="E22" s="76"/>
      <c r="F22" s="77"/>
    </row>
    <row r="23" spans="1:7" ht="23.1" customHeight="1" x14ac:dyDescent="0.3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5">
      <c r="A24" s="74">
        <v>1</v>
      </c>
      <c r="B24" s="75" t="s">
        <v>82</v>
      </c>
      <c r="C24" s="76">
        <v>56987129</v>
      </c>
      <c r="D24" s="76">
        <v>54743259</v>
      </c>
      <c r="E24" s="76">
        <f t="shared" ref="E24:E33" si="2">D24-C24</f>
        <v>-2243870</v>
      </c>
      <c r="F24" s="77">
        <f t="shared" ref="F24:F33" si="3">IF(C24=0,0,E24/C24)</f>
        <v>-3.9375031509308003E-2</v>
      </c>
    </row>
    <row r="25" spans="1:7" ht="23.1" customHeight="1" x14ac:dyDescent="0.25">
      <c r="A25" s="74">
        <v>2</v>
      </c>
      <c r="B25" s="75" t="s">
        <v>83</v>
      </c>
      <c r="C25" s="76">
        <v>14238377</v>
      </c>
      <c r="D25" s="76">
        <v>15684387</v>
      </c>
      <c r="E25" s="76">
        <f t="shared" si="2"/>
        <v>1446010</v>
      </c>
      <c r="F25" s="77">
        <f t="shared" si="3"/>
        <v>0.10155722102315454</v>
      </c>
    </row>
    <row r="26" spans="1:7" ht="23.1" customHeight="1" x14ac:dyDescent="0.25">
      <c r="A26" s="74">
        <v>3</v>
      </c>
      <c r="B26" s="75" t="s">
        <v>84</v>
      </c>
      <c r="C26" s="76">
        <v>12846687</v>
      </c>
      <c r="D26" s="76">
        <v>15127528</v>
      </c>
      <c r="E26" s="76">
        <f t="shared" si="2"/>
        <v>2280841</v>
      </c>
      <c r="F26" s="77">
        <f t="shared" si="3"/>
        <v>0.17754312843459175</v>
      </c>
      <c r="G26" s="65"/>
    </row>
    <row r="27" spans="1:7" ht="23.1" customHeight="1" x14ac:dyDescent="0.25">
      <c r="A27" s="74">
        <v>4</v>
      </c>
      <c r="B27" s="75" t="s">
        <v>85</v>
      </c>
      <c r="C27" s="76">
        <v>19823610</v>
      </c>
      <c r="D27" s="76">
        <v>21271490</v>
      </c>
      <c r="E27" s="76">
        <f t="shared" si="2"/>
        <v>1447880</v>
      </c>
      <c r="F27" s="77">
        <f t="shared" si="3"/>
        <v>7.3038160052583762E-2</v>
      </c>
    </row>
    <row r="28" spans="1:7" ht="23.1" customHeight="1" x14ac:dyDescent="0.25">
      <c r="A28" s="74">
        <v>5</v>
      </c>
      <c r="B28" s="75" t="s">
        <v>86</v>
      </c>
      <c r="C28" s="76">
        <v>7176664</v>
      </c>
      <c r="D28" s="76">
        <v>6760410</v>
      </c>
      <c r="E28" s="76">
        <f t="shared" si="2"/>
        <v>-416254</v>
      </c>
      <c r="F28" s="77">
        <f t="shared" si="3"/>
        <v>-5.8001043381716071E-2</v>
      </c>
    </row>
    <row r="29" spans="1:7" ht="23.1" customHeight="1" x14ac:dyDescent="0.25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5">
      <c r="A30" s="74">
        <v>7</v>
      </c>
      <c r="B30" s="75" t="s">
        <v>88</v>
      </c>
      <c r="C30" s="76">
        <v>1267462</v>
      </c>
      <c r="D30" s="76">
        <v>1044552</v>
      </c>
      <c r="E30" s="76">
        <f t="shared" si="2"/>
        <v>-222910</v>
      </c>
      <c r="F30" s="77">
        <f t="shared" si="3"/>
        <v>-0.17587115037768392</v>
      </c>
    </row>
    <row r="31" spans="1:7" ht="23.1" customHeight="1" x14ac:dyDescent="0.25">
      <c r="A31" s="74">
        <v>8</v>
      </c>
      <c r="B31" s="75" t="s">
        <v>89</v>
      </c>
      <c r="C31" s="76">
        <v>317020</v>
      </c>
      <c r="D31" s="76">
        <v>638394</v>
      </c>
      <c r="E31" s="76">
        <f t="shared" si="2"/>
        <v>321374</v>
      </c>
      <c r="F31" s="77">
        <f t="shared" si="3"/>
        <v>1.0137341492650307</v>
      </c>
    </row>
    <row r="32" spans="1:7" ht="23.1" customHeight="1" x14ac:dyDescent="0.25">
      <c r="A32" s="74">
        <v>9</v>
      </c>
      <c r="B32" s="75" t="s">
        <v>90</v>
      </c>
      <c r="C32" s="76">
        <v>23976324</v>
      </c>
      <c r="D32" s="76">
        <v>24873684</v>
      </c>
      <c r="E32" s="76">
        <f t="shared" si="2"/>
        <v>897360</v>
      </c>
      <c r="F32" s="77">
        <f t="shared" si="3"/>
        <v>3.7426921658215831E-2</v>
      </c>
    </row>
    <row r="33" spans="1:6" ht="23.1" customHeight="1" x14ac:dyDescent="0.3">
      <c r="A33" s="71"/>
      <c r="B33" s="78" t="s">
        <v>91</v>
      </c>
      <c r="C33" s="79">
        <f>SUM(C24:C32)</f>
        <v>136633273</v>
      </c>
      <c r="D33" s="79">
        <f>SUM(D24:D32)</f>
        <v>140143704</v>
      </c>
      <c r="E33" s="79">
        <f t="shared" si="2"/>
        <v>3510431</v>
      </c>
      <c r="F33" s="80">
        <f t="shared" si="3"/>
        <v>2.5692358258884714E-2</v>
      </c>
    </row>
    <row r="34" spans="1:6" ht="15" customHeight="1" x14ac:dyDescent="0.25">
      <c r="A34" s="74"/>
      <c r="B34" s="67"/>
      <c r="C34" s="76"/>
      <c r="D34" s="76"/>
      <c r="E34" s="76"/>
      <c r="F34" s="77"/>
    </row>
    <row r="35" spans="1:6" ht="23.1" customHeight="1" x14ac:dyDescent="0.3">
      <c r="A35" s="83"/>
      <c r="B35" s="78" t="s">
        <v>92</v>
      </c>
      <c r="C35" s="79">
        <f>+C21-C33</f>
        <v>532664</v>
      </c>
      <c r="D35" s="79">
        <f>+D21-D33</f>
        <v>-2955873</v>
      </c>
      <c r="E35" s="79">
        <f>D35-C35</f>
        <v>-3488537</v>
      </c>
      <c r="F35" s="80">
        <f>IF(C35=0,0,E35/C35)</f>
        <v>-6.5492261538230476</v>
      </c>
    </row>
    <row r="36" spans="1:6" ht="15.75" customHeight="1" x14ac:dyDescent="0.3">
      <c r="A36" s="84"/>
      <c r="B36" s="78"/>
      <c r="C36" s="76"/>
      <c r="D36" s="76"/>
      <c r="E36" s="76"/>
      <c r="F36" s="77"/>
    </row>
    <row r="37" spans="1:6" ht="15.75" customHeight="1" x14ac:dyDescent="0.3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5">
      <c r="A38" s="85">
        <v>1</v>
      </c>
      <c r="B38" s="75" t="s">
        <v>94</v>
      </c>
      <c r="C38" s="76">
        <v>826403</v>
      </c>
      <c r="D38" s="76">
        <v>970096</v>
      </c>
      <c r="E38" s="76">
        <f>D38-C38</f>
        <v>143693</v>
      </c>
      <c r="F38" s="77">
        <f>IF(C38=0,0,E38/C38)</f>
        <v>0.17387763597179584</v>
      </c>
    </row>
    <row r="39" spans="1:6" ht="23.1" customHeight="1" x14ac:dyDescent="0.25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5">
        <v>3</v>
      </c>
      <c r="B40" s="75" t="s">
        <v>96</v>
      </c>
      <c r="C40" s="76">
        <v>-31237</v>
      </c>
      <c r="D40" s="76">
        <v>100112</v>
      </c>
      <c r="E40" s="76">
        <f>D40-C40</f>
        <v>131349</v>
      </c>
      <c r="F40" s="77">
        <f>IF(C40=0,0,E40/C40)</f>
        <v>-4.2049172455741592</v>
      </c>
    </row>
    <row r="41" spans="1:6" ht="23.1" customHeight="1" x14ac:dyDescent="0.3">
      <c r="A41" s="83"/>
      <c r="B41" s="78" t="s">
        <v>97</v>
      </c>
      <c r="C41" s="79">
        <f>SUM(C38:C40)</f>
        <v>795166</v>
      </c>
      <c r="D41" s="79">
        <f>SUM(D38:D40)</f>
        <v>1070208</v>
      </c>
      <c r="E41" s="79">
        <f>D41-C41</f>
        <v>275042</v>
      </c>
      <c r="F41" s="80">
        <f>IF(C41=0,0,E41/C41)</f>
        <v>0.34589255576822953</v>
      </c>
    </row>
    <row r="42" spans="1:6" ht="15.75" customHeight="1" x14ac:dyDescent="0.3">
      <c r="A42" s="85"/>
      <c r="B42" s="78"/>
      <c r="C42" s="86"/>
      <c r="D42" s="86"/>
      <c r="E42" s="86"/>
      <c r="F42" s="80"/>
    </row>
    <row r="43" spans="1:6" ht="33" customHeight="1" x14ac:dyDescent="0.3">
      <c r="A43" s="83"/>
      <c r="B43" s="81" t="s">
        <v>98</v>
      </c>
      <c r="C43" s="79">
        <f>C35+C41</f>
        <v>1327830</v>
      </c>
      <c r="D43" s="79">
        <f>D35+D41</f>
        <v>-1885665</v>
      </c>
      <c r="E43" s="79">
        <f>D43-C43</f>
        <v>-3213495</v>
      </c>
      <c r="F43" s="80">
        <f>IF(C43=0,0,E43/C43)</f>
        <v>-2.4201102550778337</v>
      </c>
    </row>
    <row r="44" spans="1:6" ht="15.75" customHeight="1" x14ac:dyDescent="0.3">
      <c r="A44" s="85"/>
      <c r="B44" s="78"/>
      <c r="C44" s="86"/>
      <c r="D44" s="86"/>
      <c r="E44" s="86"/>
      <c r="F44" s="80"/>
    </row>
    <row r="45" spans="1:6" ht="23.1" customHeight="1" x14ac:dyDescent="0.3">
      <c r="A45" s="83"/>
      <c r="B45" s="87" t="s">
        <v>99</v>
      </c>
      <c r="C45" s="86"/>
      <c r="D45" s="86"/>
      <c r="E45" s="86"/>
      <c r="F45" s="80"/>
    </row>
    <row r="46" spans="1:6" ht="23.1" customHeight="1" x14ac:dyDescent="0.25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3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3">
      <c r="A49" s="83"/>
      <c r="B49" s="65"/>
      <c r="C49" s="79"/>
      <c r="D49" s="79"/>
      <c r="E49" s="79"/>
      <c r="F49" s="79"/>
    </row>
    <row r="50" spans="1:6" ht="23.1" customHeight="1" x14ac:dyDescent="0.3">
      <c r="A50" s="83"/>
      <c r="B50" s="87" t="s">
        <v>103</v>
      </c>
      <c r="C50" s="79">
        <f>C43+C48</f>
        <v>1327830</v>
      </c>
      <c r="D50" s="79">
        <f>D43+D48</f>
        <v>-1885665</v>
      </c>
      <c r="E50" s="79">
        <f>D50-C50</f>
        <v>-3213495</v>
      </c>
      <c r="F50" s="80">
        <f>IF(C50=0,0,E50/C50)</f>
        <v>-2.4201102550778337</v>
      </c>
    </row>
    <row r="51" spans="1:6" ht="23.1" customHeight="1" x14ac:dyDescent="0.25">
      <c r="A51" s="85"/>
      <c r="B51" s="75" t="s">
        <v>104</v>
      </c>
      <c r="C51" s="76">
        <v>1295843</v>
      </c>
      <c r="D51" s="76">
        <v>1425805</v>
      </c>
      <c r="E51" s="76">
        <f>D51-C51</f>
        <v>129962</v>
      </c>
      <c r="F51" s="77">
        <f>IF(C51=0,0,E51/C51)</f>
        <v>0.10029147049449663</v>
      </c>
    </row>
    <row r="52" spans="1:6" ht="23.1" customHeight="1" x14ac:dyDescent="0.3">
      <c r="A52" s="85"/>
      <c r="B52" s="78"/>
      <c r="C52" s="79"/>
      <c r="D52" s="79"/>
      <c r="E52" s="88"/>
      <c r="F52" s="80"/>
    </row>
    <row r="53" spans="1:6" ht="23.1" customHeight="1" x14ac:dyDescent="0.3">
      <c r="A53" s="89"/>
      <c r="B53" s="78"/>
      <c r="C53" s="79"/>
      <c r="D53" s="79"/>
      <c r="E53" s="88"/>
      <c r="F53" s="80"/>
    </row>
    <row r="54" spans="1:6" ht="23.1" customHeight="1" x14ac:dyDescent="0.3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ageMargins left="0.25" right="0.25" top="0.5" bottom="0.5" header="0.25" footer="0.25"/>
  <pageSetup scale="74" fitToHeight="0" orientation="portrait" r:id="rId1"/>
  <headerFooter>
    <oddHeader>&amp;LOFFICE OF HEALTH CARE ACCESS&amp;CTWELVE MONTHS ACTUAL FILING&amp;RBRISTOL HOSPITAL</oddHeader>
    <oddFooter>&amp;LREPORT 165&amp;C&amp;P of &amp;N&amp;R&amp;D,&amp;T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sqref="A1:F1"/>
    </sheetView>
  </sheetViews>
  <sheetFormatPr defaultColWidth="9.109375" defaultRowHeight="15" x14ac:dyDescent="0.25"/>
  <cols>
    <col min="1" max="1" width="6.109375" style="96" customWidth="1"/>
    <col min="2" max="2" width="56.33203125" style="96" customWidth="1"/>
    <col min="3" max="3" width="18.33203125" style="135" customWidth="1"/>
    <col min="4" max="4" width="18.109375" style="96" customWidth="1"/>
    <col min="5" max="7" width="18.109375" style="96" bestFit="1" customWidth="1"/>
    <col min="8" max="16384" width="9.109375" style="96"/>
  </cols>
  <sheetData>
    <row r="1" spans="1:6" ht="15" customHeight="1" x14ac:dyDescent="0.3">
      <c r="A1" s="92"/>
      <c r="B1" s="93"/>
      <c r="C1" s="94"/>
      <c r="D1" s="94"/>
      <c r="E1" s="94"/>
      <c r="F1" s="95"/>
    </row>
    <row r="2" spans="1:6" ht="15.75" customHeight="1" x14ac:dyDescent="0.3">
      <c r="A2" s="779" t="s">
        <v>0</v>
      </c>
      <c r="B2" s="779"/>
      <c r="C2" s="779"/>
      <c r="D2" s="779"/>
      <c r="E2" s="779"/>
      <c r="F2" s="779"/>
    </row>
    <row r="3" spans="1:6" ht="15.75" customHeight="1" x14ac:dyDescent="0.3">
      <c r="A3" s="779" t="s">
        <v>1</v>
      </c>
      <c r="B3" s="779"/>
      <c r="C3" s="779"/>
      <c r="D3" s="779"/>
      <c r="E3" s="779"/>
      <c r="F3" s="779"/>
    </row>
    <row r="4" spans="1:6" ht="15.75" customHeight="1" x14ac:dyDescent="0.3">
      <c r="A4" s="779" t="s">
        <v>2</v>
      </c>
      <c r="B4" s="779"/>
      <c r="C4" s="779"/>
      <c r="D4" s="779"/>
      <c r="E4" s="779"/>
      <c r="F4" s="779"/>
    </row>
    <row r="5" spans="1:6" ht="15.75" customHeight="1" x14ac:dyDescent="0.3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5">
      <c r="A6" s="92"/>
      <c r="B6" s="97"/>
      <c r="C6" s="98"/>
      <c r="D6" s="94"/>
      <c r="E6" s="94"/>
      <c r="F6" s="95"/>
    </row>
    <row r="7" spans="1:6" ht="15.6" x14ac:dyDescent="0.3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5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6" x14ac:dyDescent="0.3">
      <c r="A9" s="108"/>
      <c r="B9" s="109"/>
      <c r="C9" s="780"/>
      <c r="D9" s="781"/>
      <c r="E9" s="781"/>
      <c r="F9" s="782"/>
    </row>
    <row r="10" spans="1:6" x14ac:dyDescent="0.25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5">
      <c r="A11" s="770"/>
      <c r="B11" s="772"/>
      <c r="C11" s="776"/>
      <c r="D11" s="777"/>
      <c r="E11" s="777"/>
      <c r="F11" s="778"/>
    </row>
    <row r="12" spans="1:6" ht="15.6" x14ac:dyDescent="0.3">
      <c r="A12" s="110"/>
      <c r="B12" s="111"/>
      <c r="C12" s="112"/>
      <c r="D12" s="112"/>
      <c r="E12" s="112"/>
      <c r="F12" s="112"/>
    </row>
    <row r="13" spans="1:6" ht="15.6" x14ac:dyDescent="0.3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5">
      <c r="A14" s="115">
        <v>1</v>
      </c>
      <c r="B14" s="116" t="s">
        <v>113</v>
      </c>
      <c r="C14" s="113">
        <v>64894057</v>
      </c>
      <c r="D14" s="113">
        <v>58492549</v>
      </c>
      <c r="E14" s="113">
        <f t="shared" ref="E14:E25" si="0">D14-C14</f>
        <v>-6401508</v>
      </c>
      <c r="F14" s="114">
        <f t="shared" ref="F14:F25" si="1">IF(C14=0,0,E14/C14)</f>
        <v>-9.864552003583317E-2</v>
      </c>
    </row>
    <row r="15" spans="1:6" x14ac:dyDescent="0.25">
      <c r="A15" s="115">
        <v>2</v>
      </c>
      <c r="B15" s="116" t="s">
        <v>114</v>
      </c>
      <c r="C15" s="113">
        <v>24136586</v>
      </c>
      <c r="D15" s="113">
        <v>26701401</v>
      </c>
      <c r="E15" s="113">
        <f t="shared" si="0"/>
        <v>2564815</v>
      </c>
      <c r="F15" s="114">
        <f t="shared" si="1"/>
        <v>0.10626254268105688</v>
      </c>
    </row>
    <row r="16" spans="1:6" x14ac:dyDescent="0.25">
      <c r="A16" s="115">
        <v>3</v>
      </c>
      <c r="B16" s="116" t="s">
        <v>115</v>
      </c>
      <c r="C16" s="113">
        <v>32931847</v>
      </c>
      <c r="D16" s="113">
        <v>33382116</v>
      </c>
      <c r="E16" s="113">
        <f t="shared" si="0"/>
        <v>450269</v>
      </c>
      <c r="F16" s="114">
        <f t="shared" si="1"/>
        <v>1.3672752700448293E-2</v>
      </c>
    </row>
    <row r="17" spans="1:6" x14ac:dyDescent="0.25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5">
      <c r="A18" s="115">
        <v>5</v>
      </c>
      <c r="B18" s="116" t="s">
        <v>117</v>
      </c>
      <c r="C18" s="113">
        <v>201255</v>
      </c>
      <c r="D18" s="113">
        <v>253880</v>
      </c>
      <c r="E18" s="113">
        <f t="shared" si="0"/>
        <v>52625</v>
      </c>
      <c r="F18" s="114">
        <f t="shared" si="1"/>
        <v>0.26148418672828005</v>
      </c>
    </row>
    <row r="19" spans="1:6" x14ac:dyDescent="0.25">
      <c r="A19" s="115">
        <v>6</v>
      </c>
      <c r="B19" s="116" t="s">
        <v>118</v>
      </c>
      <c r="C19" s="113">
        <v>21108501</v>
      </c>
      <c r="D19" s="113">
        <v>24610481</v>
      </c>
      <c r="E19" s="113">
        <f t="shared" si="0"/>
        <v>3501980</v>
      </c>
      <c r="F19" s="114">
        <f t="shared" si="1"/>
        <v>0.1659037749767262</v>
      </c>
    </row>
    <row r="20" spans="1:6" x14ac:dyDescent="0.25">
      <c r="A20" s="115">
        <v>7</v>
      </c>
      <c r="B20" s="116" t="s">
        <v>119</v>
      </c>
      <c r="C20" s="113">
        <v>12090305</v>
      </c>
      <c r="D20" s="113">
        <v>11318173</v>
      </c>
      <c r="E20" s="113">
        <f t="shared" si="0"/>
        <v>-772132</v>
      </c>
      <c r="F20" s="114">
        <f t="shared" si="1"/>
        <v>-6.3863732139098225E-2</v>
      </c>
    </row>
    <row r="21" spans="1:6" x14ac:dyDescent="0.25">
      <c r="A21" s="115">
        <v>8</v>
      </c>
      <c r="B21" s="116" t="s">
        <v>120</v>
      </c>
      <c r="C21" s="113">
        <v>119396</v>
      </c>
      <c r="D21" s="113">
        <v>251386</v>
      </c>
      <c r="E21" s="113">
        <f t="shared" si="0"/>
        <v>131990</v>
      </c>
      <c r="F21" s="114">
        <f t="shared" si="1"/>
        <v>1.1054809206338572</v>
      </c>
    </row>
    <row r="22" spans="1:6" x14ac:dyDescent="0.25">
      <c r="A22" s="115">
        <v>9</v>
      </c>
      <c r="B22" s="116" t="s">
        <v>121</v>
      </c>
      <c r="C22" s="113">
        <v>1368087</v>
      </c>
      <c r="D22" s="113">
        <v>1649171</v>
      </c>
      <c r="E22" s="113">
        <f t="shared" si="0"/>
        <v>281084</v>
      </c>
      <c r="F22" s="114">
        <f t="shared" si="1"/>
        <v>0.20545769384549376</v>
      </c>
    </row>
    <row r="23" spans="1:6" x14ac:dyDescent="0.25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5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6" x14ac:dyDescent="0.3">
      <c r="A25" s="117"/>
      <c r="B25" s="118" t="s">
        <v>124</v>
      </c>
      <c r="C25" s="119">
        <f>SUM(C14:C24)</f>
        <v>156850034</v>
      </c>
      <c r="D25" s="119">
        <f>SUM(D14:D24)</f>
        <v>156659157</v>
      </c>
      <c r="E25" s="119">
        <f t="shared" si="0"/>
        <v>-190877</v>
      </c>
      <c r="F25" s="120">
        <f t="shared" si="1"/>
        <v>-1.2169394875617304E-3</v>
      </c>
    </row>
    <row r="26" spans="1:6" ht="15.6" x14ac:dyDescent="0.3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5">
      <c r="A27" s="115">
        <v>1</v>
      </c>
      <c r="B27" s="116" t="s">
        <v>113</v>
      </c>
      <c r="C27" s="113">
        <v>80749976</v>
      </c>
      <c r="D27" s="113">
        <v>88912521</v>
      </c>
      <c r="E27" s="113">
        <f t="shared" ref="E27:E38" si="2">D27-C27</f>
        <v>8162545</v>
      </c>
      <c r="F27" s="114">
        <f t="shared" ref="F27:F38" si="3">IF(C27=0,0,E27/C27)</f>
        <v>0.10108417865040605</v>
      </c>
    </row>
    <row r="28" spans="1:6" x14ac:dyDescent="0.25">
      <c r="A28" s="115">
        <v>2</v>
      </c>
      <c r="B28" s="116" t="s">
        <v>114</v>
      </c>
      <c r="C28" s="113">
        <v>35781189</v>
      </c>
      <c r="D28" s="113">
        <v>43353376</v>
      </c>
      <c r="E28" s="113">
        <f t="shared" si="2"/>
        <v>7572187</v>
      </c>
      <c r="F28" s="114">
        <f t="shared" si="3"/>
        <v>0.21162480095337247</v>
      </c>
    </row>
    <row r="29" spans="1:6" x14ac:dyDescent="0.25">
      <c r="A29" s="115">
        <v>3</v>
      </c>
      <c r="B29" s="116" t="s">
        <v>115</v>
      </c>
      <c r="C29" s="113">
        <v>65028189</v>
      </c>
      <c r="D29" s="113">
        <v>66564050</v>
      </c>
      <c r="E29" s="113">
        <f t="shared" si="2"/>
        <v>1535861</v>
      </c>
      <c r="F29" s="114">
        <f t="shared" si="3"/>
        <v>2.3618388019386486E-2</v>
      </c>
    </row>
    <row r="30" spans="1:6" x14ac:dyDescent="0.25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5">
      <c r="A31" s="115">
        <v>5</v>
      </c>
      <c r="B31" s="116" t="s">
        <v>117</v>
      </c>
      <c r="C31" s="113">
        <v>1153587</v>
      </c>
      <c r="D31" s="113">
        <v>484092</v>
      </c>
      <c r="E31" s="113">
        <f t="shared" si="2"/>
        <v>-669495</v>
      </c>
      <c r="F31" s="114">
        <f t="shared" si="3"/>
        <v>-0.58035934870972017</v>
      </c>
    </row>
    <row r="32" spans="1:6" x14ac:dyDescent="0.25">
      <c r="A32" s="115">
        <v>6</v>
      </c>
      <c r="B32" s="116" t="s">
        <v>118</v>
      </c>
      <c r="C32" s="113">
        <v>65924034</v>
      </c>
      <c r="D32" s="113">
        <v>71906642</v>
      </c>
      <c r="E32" s="113">
        <f t="shared" si="2"/>
        <v>5982608</v>
      </c>
      <c r="F32" s="114">
        <f t="shared" si="3"/>
        <v>9.0750029041001948E-2</v>
      </c>
    </row>
    <row r="33" spans="1:6" x14ac:dyDescent="0.25">
      <c r="A33" s="115">
        <v>7</v>
      </c>
      <c r="B33" s="116" t="s">
        <v>119</v>
      </c>
      <c r="C33" s="113">
        <v>30081385</v>
      </c>
      <c r="D33" s="113">
        <v>32036871</v>
      </c>
      <c r="E33" s="113">
        <f t="shared" si="2"/>
        <v>1955486</v>
      </c>
      <c r="F33" s="114">
        <f t="shared" si="3"/>
        <v>6.5006514826361883E-2</v>
      </c>
    </row>
    <row r="34" spans="1:6" x14ac:dyDescent="0.25">
      <c r="A34" s="115">
        <v>8</v>
      </c>
      <c r="B34" s="116" t="s">
        <v>120</v>
      </c>
      <c r="C34" s="113">
        <v>3407917</v>
      </c>
      <c r="D34" s="113">
        <v>4068711</v>
      </c>
      <c r="E34" s="113">
        <f t="shared" si="2"/>
        <v>660794</v>
      </c>
      <c r="F34" s="114">
        <f t="shared" si="3"/>
        <v>0.1938996753735493</v>
      </c>
    </row>
    <row r="35" spans="1:6" x14ac:dyDescent="0.25">
      <c r="A35" s="115">
        <v>9</v>
      </c>
      <c r="B35" s="116" t="s">
        <v>121</v>
      </c>
      <c r="C35" s="113">
        <v>5132339</v>
      </c>
      <c r="D35" s="113">
        <v>5404541</v>
      </c>
      <c r="E35" s="113">
        <f t="shared" si="2"/>
        <v>272202</v>
      </c>
      <c r="F35" s="114">
        <f t="shared" si="3"/>
        <v>5.3036636901810263E-2</v>
      </c>
    </row>
    <row r="36" spans="1:6" x14ac:dyDescent="0.25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5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6" x14ac:dyDescent="0.3">
      <c r="A38" s="117"/>
      <c r="B38" s="118" t="s">
        <v>126</v>
      </c>
      <c r="C38" s="119">
        <f>SUM(C27:C37)</f>
        <v>287258616</v>
      </c>
      <c r="D38" s="119">
        <f>SUM(D27:D37)</f>
        <v>312730804</v>
      </c>
      <c r="E38" s="119">
        <f t="shared" si="2"/>
        <v>25472188</v>
      </c>
      <c r="F38" s="120">
        <f t="shared" si="3"/>
        <v>8.8673364631123894E-2</v>
      </c>
    </row>
    <row r="39" spans="1:6" ht="15" customHeight="1" x14ac:dyDescent="0.25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5">
      <c r="A40" s="770"/>
      <c r="B40" s="772"/>
      <c r="C40" s="776"/>
      <c r="D40" s="777"/>
      <c r="E40" s="777"/>
      <c r="F40" s="778"/>
    </row>
    <row r="41" spans="1:6" ht="15.6" x14ac:dyDescent="0.3">
      <c r="A41" s="121">
        <v>1</v>
      </c>
      <c r="B41" s="122" t="s">
        <v>113</v>
      </c>
      <c r="C41" s="119">
        <f t="shared" ref="C41:D51" si="4">+C27+C14</f>
        <v>145644033</v>
      </c>
      <c r="D41" s="119">
        <f t="shared" si="4"/>
        <v>147405070</v>
      </c>
      <c r="E41" s="123">
        <f t="shared" ref="E41:E52" si="5">D41-C41</f>
        <v>1761037</v>
      </c>
      <c r="F41" s="124">
        <f t="shared" ref="F41:F52" si="6">IF(C41=0,0,E41/C41)</f>
        <v>1.2091377612428516E-2</v>
      </c>
    </row>
    <row r="42" spans="1:6" ht="15.6" x14ac:dyDescent="0.3">
      <c r="A42" s="121">
        <v>2</v>
      </c>
      <c r="B42" s="122" t="s">
        <v>114</v>
      </c>
      <c r="C42" s="119">
        <f t="shared" si="4"/>
        <v>59917775</v>
      </c>
      <c r="D42" s="119">
        <f t="shared" si="4"/>
        <v>70054777</v>
      </c>
      <c r="E42" s="123">
        <f t="shared" si="5"/>
        <v>10137002</v>
      </c>
      <c r="F42" s="124">
        <f t="shared" si="6"/>
        <v>0.16918188300550213</v>
      </c>
    </row>
    <row r="43" spans="1:6" ht="15.6" x14ac:dyDescent="0.3">
      <c r="A43" s="121">
        <v>3</v>
      </c>
      <c r="B43" s="122" t="s">
        <v>115</v>
      </c>
      <c r="C43" s="119">
        <f t="shared" si="4"/>
        <v>97960036</v>
      </c>
      <c r="D43" s="119">
        <f t="shared" si="4"/>
        <v>99946166</v>
      </c>
      <c r="E43" s="123">
        <f t="shared" si="5"/>
        <v>1986130</v>
      </c>
      <c r="F43" s="124">
        <f t="shared" si="6"/>
        <v>2.0274900674801713E-2</v>
      </c>
    </row>
    <row r="44" spans="1:6" ht="15.6" x14ac:dyDescent="0.3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6" x14ac:dyDescent="0.3">
      <c r="A45" s="121">
        <v>5</v>
      </c>
      <c r="B45" s="122" t="s">
        <v>117</v>
      </c>
      <c r="C45" s="119">
        <f t="shared" si="4"/>
        <v>1354842</v>
      </c>
      <c r="D45" s="119">
        <f t="shared" si="4"/>
        <v>737972</v>
      </c>
      <c r="E45" s="123">
        <f t="shared" si="5"/>
        <v>-616870</v>
      </c>
      <c r="F45" s="124">
        <f t="shared" si="6"/>
        <v>-0.4553077037765289</v>
      </c>
    </row>
    <row r="46" spans="1:6" ht="15.6" x14ac:dyDescent="0.3">
      <c r="A46" s="121">
        <v>6</v>
      </c>
      <c r="B46" s="122" t="s">
        <v>118</v>
      </c>
      <c r="C46" s="119">
        <f t="shared" si="4"/>
        <v>87032535</v>
      </c>
      <c r="D46" s="119">
        <f t="shared" si="4"/>
        <v>96517123</v>
      </c>
      <c r="E46" s="123">
        <f t="shared" si="5"/>
        <v>9484588</v>
      </c>
      <c r="F46" s="124">
        <f t="shared" si="6"/>
        <v>0.10897749904676453</v>
      </c>
    </row>
    <row r="47" spans="1:6" ht="15.6" x14ac:dyDescent="0.3">
      <c r="A47" s="121">
        <v>7</v>
      </c>
      <c r="B47" s="122" t="s">
        <v>119</v>
      </c>
      <c r="C47" s="119">
        <f t="shared" si="4"/>
        <v>42171690</v>
      </c>
      <c r="D47" s="119">
        <f t="shared" si="4"/>
        <v>43355044</v>
      </c>
      <c r="E47" s="123">
        <f t="shared" si="5"/>
        <v>1183354</v>
      </c>
      <c r="F47" s="124">
        <f t="shared" si="6"/>
        <v>2.8060388379028679E-2</v>
      </c>
    </row>
    <row r="48" spans="1:6" ht="15.6" x14ac:dyDescent="0.3">
      <c r="A48" s="121">
        <v>8</v>
      </c>
      <c r="B48" s="122" t="s">
        <v>120</v>
      </c>
      <c r="C48" s="119">
        <f t="shared" si="4"/>
        <v>3527313</v>
      </c>
      <c r="D48" s="119">
        <f t="shared" si="4"/>
        <v>4320097</v>
      </c>
      <c r="E48" s="123">
        <f t="shared" si="5"/>
        <v>792784</v>
      </c>
      <c r="F48" s="124">
        <f t="shared" si="6"/>
        <v>0.22475578436050331</v>
      </c>
    </row>
    <row r="49" spans="1:6" ht="15.6" x14ac:dyDescent="0.3">
      <c r="A49" s="121">
        <v>9</v>
      </c>
      <c r="B49" s="122" t="s">
        <v>121</v>
      </c>
      <c r="C49" s="119">
        <f t="shared" si="4"/>
        <v>6500426</v>
      </c>
      <c r="D49" s="119">
        <f t="shared" si="4"/>
        <v>7053712</v>
      </c>
      <c r="E49" s="123">
        <f t="shared" si="5"/>
        <v>553286</v>
      </c>
      <c r="F49" s="124">
        <f t="shared" si="6"/>
        <v>8.5115344748174962E-2</v>
      </c>
    </row>
    <row r="50" spans="1:6" ht="15.6" x14ac:dyDescent="0.3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2" thickBot="1" x14ac:dyDescent="0.35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5">
      <c r="A52" s="125"/>
      <c r="B52" s="126" t="s">
        <v>128</v>
      </c>
      <c r="C52" s="127">
        <f>SUM(C41:C51)</f>
        <v>444108650</v>
      </c>
      <c r="D52" s="128">
        <f>SUM(D41:D51)</f>
        <v>469389961</v>
      </c>
      <c r="E52" s="127">
        <f t="shared" si="5"/>
        <v>25281311</v>
      </c>
      <c r="F52" s="129">
        <f t="shared" si="6"/>
        <v>5.6925959447085756E-2</v>
      </c>
    </row>
    <row r="53" spans="1:6" x14ac:dyDescent="0.25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5">
      <c r="A54" s="770"/>
      <c r="B54" s="772"/>
      <c r="C54" s="776"/>
      <c r="D54" s="777"/>
      <c r="E54" s="777"/>
      <c r="F54" s="778"/>
    </row>
    <row r="55" spans="1:6" ht="15.6" x14ac:dyDescent="0.3">
      <c r="A55" s="110"/>
      <c r="B55" s="111"/>
      <c r="C55" s="112"/>
      <c r="D55" s="112"/>
      <c r="E55" s="112"/>
      <c r="F55" s="112"/>
    </row>
    <row r="56" spans="1:6" ht="15.6" x14ac:dyDescent="0.3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5">
      <c r="A57" s="115">
        <v>1</v>
      </c>
      <c r="B57" s="116" t="s">
        <v>113</v>
      </c>
      <c r="C57" s="113">
        <v>20327221</v>
      </c>
      <c r="D57" s="113">
        <v>15853363</v>
      </c>
      <c r="E57" s="113">
        <f t="shared" ref="E57:E68" si="7">D57-C57</f>
        <v>-4473858</v>
      </c>
      <c r="F57" s="114">
        <f t="shared" ref="F57:F68" si="8">IF(C57=0,0,E57/C57)</f>
        <v>-0.22009196436640305</v>
      </c>
    </row>
    <row r="58" spans="1:6" x14ac:dyDescent="0.25">
      <c r="A58" s="115">
        <v>2</v>
      </c>
      <c r="B58" s="116" t="s">
        <v>114</v>
      </c>
      <c r="C58" s="113">
        <v>7794289</v>
      </c>
      <c r="D58" s="113">
        <v>9025952</v>
      </c>
      <c r="E58" s="113">
        <f t="shared" si="7"/>
        <v>1231663</v>
      </c>
      <c r="F58" s="114">
        <f t="shared" si="8"/>
        <v>0.15802121271099903</v>
      </c>
    </row>
    <row r="59" spans="1:6" x14ac:dyDescent="0.25">
      <c r="A59" s="115">
        <v>3</v>
      </c>
      <c r="B59" s="116" t="s">
        <v>115</v>
      </c>
      <c r="C59" s="113">
        <v>7687592</v>
      </c>
      <c r="D59" s="113">
        <v>8522358</v>
      </c>
      <c r="E59" s="113">
        <f t="shared" si="7"/>
        <v>834766</v>
      </c>
      <c r="F59" s="114">
        <f t="shared" si="8"/>
        <v>0.10858614765195655</v>
      </c>
    </row>
    <row r="60" spans="1:6" x14ac:dyDescent="0.25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5">
      <c r="A61" s="115">
        <v>5</v>
      </c>
      <c r="B61" s="116" t="s">
        <v>117</v>
      </c>
      <c r="C61" s="113">
        <v>29548</v>
      </c>
      <c r="D61" s="113">
        <v>86625</v>
      </c>
      <c r="E61" s="113">
        <f t="shared" si="7"/>
        <v>57077</v>
      </c>
      <c r="F61" s="114">
        <f t="shared" si="8"/>
        <v>1.9316705022336538</v>
      </c>
    </row>
    <row r="62" spans="1:6" x14ac:dyDescent="0.25">
      <c r="A62" s="115">
        <v>6</v>
      </c>
      <c r="B62" s="116" t="s">
        <v>118</v>
      </c>
      <c r="C62" s="113">
        <v>11352585</v>
      </c>
      <c r="D62" s="113">
        <v>11196554</v>
      </c>
      <c r="E62" s="113">
        <f t="shared" si="7"/>
        <v>-156031</v>
      </c>
      <c r="F62" s="114">
        <f t="shared" si="8"/>
        <v>-1.3744094406692397E-2</v>
      </c>
    </row>
    <row r="63" spans="1:6" x14ac:dyDescent="0.25">
      <c r="A63" s="115">
        <v>7</v>
      </c>
      <c r="B63" s="116" t="s">
        <v>119</v>
      </c>
      <c r="C63" s="113">
        <v>6491072</v>
      </c>
      <c r="D63" s="113">
        <v>7097736</v>
      </c>
      <c r="E63" s="113">
        <f t="shared" si="7"/>
        <v>606664</v>
      </c>
      <c r="F63" s="114">
        <f t="shared" si="8"/>
        <v>9.3461295761316468E-2</v>
      </c>
    </row>
    <row r="64" spans="1:6" x14ac:dyDescent="0.25">
      <c r="A64" s="115">
        <v>8</v>
      </c>
      <c r="B64" s="116" t="s">
        <v>120</v>
      </c>
      <c r="C64" s="113">
        <v>119396</v>
      </c>
      <c r="D64" s="113">
        <v>251385</v>
      </c>
      <c r="E64" s="113">
        <f t="shared" si="7"/>
        <v>131989</v>
      </c>
      <c r="F64" s="114">
        <f t="shared" si="8"/>
        <v>1.1054725451438909</v>
      </c>
    </row>
    <row r="65" spans="1:6" x14ac:dyDescent="0.25">
      <c r="A65" s="115">
        <v>9</v>
      </c>
      <c r="B65" s="116" t="s">
        <v>121</v>
      </c>
      <c r="C65" s="113">
        <v>0</v>
      </c>
      <c r="D65" s="113">
        <v>8171</v>
      </c>
      <c r="E65" s="113">
        <f t="shared" si="7"/>
        <v>8171</v>
      </c>
      <c r="F65" s="114">
        <f t="shared" si="8"/>
        <v>0</v>
      </c>
    </row>
    <row r="66" spans="1:6" x14ac:dyDescent="0.25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5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6" x14ac:dyDescent="0.3">
      <c r="A68" s="117"/>
      <c r="B68" s="118" t="s">
        <v>131</v>
      </c>
      <c r="C68" s="119">
        <f>SUM(C57:C67)</f>
        <v>53801703</v>
      </c>
      <c r="D68" s="119">
        <f>SUM(D57:D67)</f>
        <v>52042144</v>
      </c>
      <c r="E68" s="119">
        <f t="shared" si="7"/>
        <v>-1759559</v>
      </c>
      <c r="F68" s="120">
        <f t="shared" si="8"/>
        <v>-3.2704522382869555E-2</v>
      </c>
    </row>
    <row r="69" spans="1:6" ht="15.6" x14ac:dyDescent="0.3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5">
      <c r="A70" s="115">
        <v>1</v>
      </c>
      <c r="B70" s="116" t="s">
        <v>113</v>
      </c>
      <c r="C70" s="113">
        <v>17836476</v>
      </c>
      <c r="D70" s="113">
        <v>18780235</v>
      </c>
      <c r="E70" s="113">
        <f t="shared" ref="E70:E81" si="9">D70-C70</f>
        <v>943759</v>
      </c>
      <c r="F70" s="114">
        <f t="shared" ref="F70:F81" si="10">IF(C70=0,0,E70/C70)</f>
        <v>5.291174108607552E-2</v>
      </c>
    </row>
    <row r="71" spans="1:6" x14ac:dyDescent="0.25">
      <c r="A71" s="115">
        <v>2</v>
      </c>
      <c r="B71" s="116" t="s">
        <v>114</v>
      </c>
      <c r="C71" s="113">
        <v>6136606</v>
      </c>
      <c r="D71" s="113">
        <v>6649794</v>
      </c>
      <c r="E71" s="113">
        <f t="shared" si="9"/>
        <v>513188</v>
      </c>
      <c r="F71" s="114">
        <f t="shared" si="10"/>
        <v>8.3627334067072248E-2</v>
      </c>
    </row>
    <row r="72" spans="1:6" x14ac:dyDescent="0.25">
      <c r="A72" s="115">
        <v>3</v>
      </c>
      <c r="B72" s="116" t="s">
        <v>115</v>
      </c>
      <c r="C72" s="113">
        <v>13782560</v>
      </c>
      <c r="D72" s="113">
        <v>13913687</v>
      </c>
      <c r="E72" s="113">
        <f t="shared" si="9"/>
        <v>131127</v>
      </c>
      <c r="F72" s="114">
        <f t="shared" si="10"/>
        <v>9.5139799863015288E-3</v>
      </c>
    </row>
    <row r="73" spans="1:6" x14ac:dyDescent="0.25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5">
      <c r="A74" s="115">
        <v>5</v>
      </c>
      <c r="B74" s="116" t="s">
        <v>117</v>
      </c>
      <c r="C74" s="113">
        <v>283322</v>
      </c>
      <c r="D74" s="113">
        <v>39760</v>
      </c>
      <c r="E74" s="113">
        <f t="shared" si="9"/>
        <v>-243562</v>
      </c>
      <c r="F74" s="114">
        <f t="shared" si="10"/>
        <v>-0.8596649748342875</v>
      </c>
    </row>
    <row r="75" spans="1:6" x14ac:dyDescent="0.25">
      <c r="A75" s="115">
        <v>6</v>
      </c>
      <c r="B75" s="116" t="s">
        <v>118</v>
      </c>
      <c r="C75" s="113">
        <v>24728195</v>
      </c>
      <c r="D75" s="113">
        <v>27708723</v>
      </c>
      <c r="E75" s="113">
        <f t="shared" si="9"/>
        <v>2980528</v>
      </c>
      <c r="F75" s="114">
        <f t="shared" si="10"/>
        <v>0.12053156326209818</v>
      </c>
    </row>
    <row r="76" spans="1:6" x14ac:dyDescent="0.25">
      <c r="A76" s="115">
        <v>7</v>
      </c>
      <c r="B76" s="116" t="s">
        <v>119</v>
      </c>
      <c r="C76" s="113">
        <v>12947000</v>
      </c>
      <c r="D76" s="113">
        <v>11476157</v>
      </c>
      <c r="E76" s="113">
        <f t="shared" si="9"/>
        <v>-1470843</v>
      </c>
      <c r="F76" s="114">
        <f t="shared" si="10"/>
        <v>-0.11360492778249788</v>
      </c>
    </row>
    <row r="77" spans="1:6" x14ac:dyDescent="0.25">
      <c r="A77" s="115">
        <v>8</v>
      </c>
      <c r="B77" s="116" t="s">
        <v>120</v>
      </c>
      <c r="C77" s="113">
        <v>3407917</v>
      </c>
      <c r="D77" s="113">
        <v>4068711</v>
      </c>
      <c r="E77" s="113">
        <f t="shared" si="9"/>
        <v>660794</v>
      </c>
      <c r="F77" s="114">
        <f t="shared" si="10"/>
        <v>0.1938996753735493</v>
      </c>
    </row>
    <row r="78" spans="1:6" x14ac:dyDescent="0.25">
      <c r="A78" s="115">
        <v>9</v>
      </c>
      <c r="B78" s="116" t="s">
        <v>121</v>
      </c>
      <c r="C78" s="113">
        <v>108324</v>
      </c>
      <c r="D78" s="113">
        <v>134643</v>
      </c>
      <c r="E78" s="113">
        <f t="shared" si="9"/>
        <v>26319</v>
      </c>
      <c r="F78" s="114">
        <f t="shared" si="10"/>
        <v>0.24296554780104132</v>
      </c>
    </row>
    <row r="79" spans="1:6" x14ac:dyDescent="0.25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5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6" x14ac:dyDescent="0.3">
      <c r="A81" s="117"/>
      <c r="B81" s="118" t="s">
        <v>133</v>
      </c>
      <c r="C81" s="119">
        <f>SUM(C70:C80)</f>
        <v>79230400</v>
      </c>
      <c r="D81" s="119">
        <f>SUM(D70:D80)</f>
        <v>82771710</v>
      </c>
      <c r="E81" s="119">
        <f t="shared" si="9"/>
        <v>3541310</v>
      </c>
      <c r="F81" s="120">
        <f t="shared" si="10"/>
        <v>4.4696353924756155E-2</v>
      </c>
    </row>
    <row r="82" spans="1:6" ht="15" customHeight="1" x14ac:dyDescent="0.25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5">
      <c r="A83" s="770"/>
      <c r="B83" s="772"/>
      <c r="C83" s="776"/>
      <c r="D83" s="777"/>
      <c r="E83" s="777"/>
      <c r="F83" s="778"/>
    </row>
    <row r="84" spans="1:6" ht="15.6" x14ac:dyDescent="0.3">
      <c r="A84" s="130">
        <v>1</v>
      </c>
      <c r="B84" s="122" t="s">
        <v>113</v>
      </c>
      <c r="C84" s="119">
        <f t="shared" ref="C84:D94" si="11">+C70+C57</f>
        <v>38163697</v>
      </c>
      <c r="D84" s="119">
        <f t="shared" si="11"/>
        <v>34633598</v>
      </c>
      <c r="E84" s="119">
        <f t="shared" ref="E84:E95" si="12">D84-C84</f>
        <v>-3530099</v>
      </c>
      <c r="F84" s="120">
        <f t="shared" ref="F84:F95" si="13">IF(C84=0,0,E84/C84)</f>
        <v>-9.2498873995357417E-2</v>
      </c>
    </row>
    <row r="85" spans="1:6" ht="15.6" x14ac:dyDescent="0.3">
      <c r="A85" s="130">
        <v>2</v>
      </c>
      <c r="B85" s="122" t="s">
        <v>114</v>
      </c>
      <c r="C85" s="119">
        <f t="shared" si="11"/>
        <v>13930895</v>
      </c>
      <c r="D85" s="119">
        <f t="shared" si="11"/>
        <v>15675746</v>
      </c>
      <c r="E85" s="119">
        <f t="shared" si="12"/>
        <v>1744851</v>
      </c>
      <c r="F85" s="120">
        <f t="shared" si="13"/>
        <v>0.125250459500269</v>
      </c>
    </row>
    <row r="86" spans="1:6" ht="15.6" x14ac:dyDescent="0.3">
      <c r="A86" s="130">
        <v>3</v>
      </c>
      <c r="B86" s="122" t="s">
        <v>115</v>
      </c>
      <c r="C86" s="119">
        <f t="shared" si="11"/>
        <v>21470152</v>
      </c>
      <c r="D86" s="119">
        <f t="shared" si="11"/>
        <v>22436045</v>
      </c>
      <c r="E86" s="119">
        <f t="shared" si="12"/>
        <v>965893</v>
      </c>
      <c r="F86" s="120">
        <f t="shared" si="13"/>
        <v>4.4987711311964627E-2</v>
      </c>
    </row>
    <row r="87" spans="1:6" ht="15.6" x14ac:dyDescent="0.3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6" x14ac:dyDescent="0.3">
      <c r="A88" s="130">
        <v>5</v>
      </c>
      <c r="B88" s="122" t="s">
        <v>117</v>
      </c>
      <c r="C88" s="119">
        <f t="shared" si="11"/>
        <v>312870</v>
      </c>
      <c r="D88" s="119">
        <f t="shared" si="11"/>
        <v>126385</v>
      </c>
      <c r="E88" s="119">
        <f t="shared" si="12"/>
        <v>-186485</v>
      </c>
      <c r="F88" s="120">
        <f t="shared" si="13"/>
        <v>-0.59604628120305558</v>
      </c>
    </row>
    <row r="89" spans="1:6" ht="15.6" x14ac:dyDescent="0.3">
      <c r="A89" s="130">
        <v>6</v>
      </c>
      <c r="B89" s="122" t="s">
        <v>118</v>
      </c>
      <c r="C89" s="119">
        <f t="shared" si="11"/>
        <v>36080780</v>
      </c>
      <c r="D89" s="119">
        <f t="shared" si="11"/>
        <v>38905277</v>
      </c>
      <c r="E89" s="119">
        <f t="shared" si="12"/>
        <v>2824497</v>
      </c>
      <c r="F89" s="120">
        <f t="shared" si="13"/>
        <v>7.8282592560360395E-2</v>
      </c>
    </row>
    <row r="90" spans="1:6" ht="15.6" x14ac:dyDescent="0.3">
      <c r="A90" s="130">
        <v>7</v>
      </c>
      <c r="B90" s="122" t="s">
        <v>119</v>
      </c>
      <c r="C90" s="119">
        <f t="shared" si="11"/>
        <v>19438072</v>
      </c>
      <c r="D90" s="119">
        <f t="shared" si="11"/>
        <v>18573893</v>
      </c>
      <c r="E90" s="119">
        <f t="shared" si="12"/>
        <v>-864179</v>
      </c>
      <c r="F90" s="120">
        <f t="shared" si="13"/>
        <v>-4.4458061478525233E-2</v>
      </c>
    </row>
    <row r="91" spans="1:6" ht="15.6" x14ac:dyDescent="0.3">
      <c r="A91" s="130">
        <v>8</v>
      </c>
      <c r="B91" s="122" t="s">
        <v>120</v>
      </c>
      <c r="C91" s="119">
        <f t="shared" si="11"/>
        <v>3527313</v>
      </c>
      <c r="D91" s="119">
        <f t="shared" si="11"/>
        <v>4320096</v>
      </c>
      <c r="E91" s="119">
        <f t="shared" si="12"/>
        <v>792783</v>
      </c>
      <c r="F91" s="120">
        <f t="shared" si="13"/>
        <v>0.22475550085858556</v>
      </c>
    </row>
    <row r="92" spans="1:6" ht="15.6" x14ac:dyDescent="0.3">
      <c r="A92" s="130">
        <v>9</v>
      </c>
      <c r="B92" s="122" t="s">
        <v>121</v>
      </c>
      <c r="C92" s="119">
        <f t="shared" si="11"/>
        <v>108324</v>
      </c>
      <c r="D92" s="119">
        <f t="shared" si="11"/>
        <v>142814</v>
      </c>
      <c r="E92" s="119">
        <f t="shared" si="12"/>
        <v>34490</v>
      </c>
      <c r="F92" s="120">
        <f t="shared" si="13"/>
        <v>0.31839666186625309</v>
      </c>
    </row>
    <row r="93" spans="1:6" ht="15.6" x14ac:dyDescent="0.3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2" thickBot="1" x14ac:dyDescent="0.35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5">
      <c r="A95" s="131"/>
      <c r="B95" s="132" t="s">
        <v>134</v>
      </c>
      <c r="C95" s="128">
        <f>SUM(C84:C94)</f>
        <v>133032103</v>
      </c>
      <c r="D95" s="128">
        <f>SUM(D84:D94)</f>
        <v>134813854</v>
      </c>
      <c r="E95" s="128">
        <f t="shared" si="12"/>
        <v>1781751</v>
      </c>
      <c r="F95" s="129">
        <f t="shared" si="13"/>
        <v>1.3393391217757416E-2</v>
      </c>
    </row>
    <row r="96" spans="1:6" x14ac:dyDescent="0.25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5">
      <c r="A97" s="770"/>
      <c r="B97" s="772"/>
      <c r="C97" s="776"/>
      <c r="D97" s="777"/>
      <c r="E97" s="777"/>
      <c r="F97" s="778"/>
    </row>
    <row r="98" spans="1:6" ht="15.6" x14ac:dyDescent="0.3">
      <c r="A98" s="110"/>
      <c r="B98" s="111"/>
      <c r="C98" s="112"/>
      <c r="D98" s="112"/>
      <c r="E98" s="112"/>
      <c r="F98" s="112"/>
    </row>
    <row r="99" spans="1:6" ht="15.6" x14ac:dyDescent="0.3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5">
      <c r="A100" s="115">
        <v>1</v>
      </c>
      <c r="B100" s="116" t="s">
        <v>113</v>
      </c>
      <c r="C100" s="133">
        <v>2497</v>
      </c>
      <c r="D100" s="133">
        <v>2273</v>
      </c>
      <c r="E100" s="133">
        <f t="shared" ref="E100:E111" si="14">D100-C100</f>
        <v>-224</v>
      </c>
      <c r="F100" s="114">
        <f t="shared" ref="F100:F111" si="15">IF(C100=0,0,E100/C100)</f>
        <v>-8.9707649179014817E-2</v>
      </c>
    </row>
    <row r="101" spans="1:6" x14ac:dyDescent="0.25">
      <c r="A101" s="115">
        <v>2</v>
      </c>
      <c r="B101" s="116" t="s">
        <v>114</v>
      </c>
      <c r="C101" s="133">
        <v>883</v>
      </c>
      <c r="D101" s="133">
        <v>875</v>
      </c>
      <c r="E101" s="133">
        <f t="shared" si="14"/>
        <v>-8</v>
      </c>
      <c r="F101" s="114">
        <f t="shared" si="15"/>
        <v>-9.0600226500566258E-3</v>
      </c>
    </row>
    <row r="102" spans="1:6" x14ac:dyDescent="0.25">
      <c r="A102" s="115">
        <v>3</v>
      </c>
      <c r="B102" s="116" t="s">
        <v>115</v>
      </c>
      <c r="C102" s="133">
        <v>1840</v>
      </c>
      <c r="D102" s="133">
        <v>1721</v>
      </c>
      <c r="E102" s="133">
        <f t="shared" si="14"/>
        <v>-119</v>
      </c>
      <c r="F102" s="114">
        <f t="shared" si="15"/>
        <v>-6.4673913043478262E-2</v>
      </c>
    </row>
    <row r="103" spans="1:6" x14ac:dyDescent="0.25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5">
      <c r="A104" s="115">
        <v>5</v>
      </c>
      <c r="B104" s="116" t="s">
        <v>117</v>
      </c>
      <c r="C104" s="133">
        <v>18</v>
      </c>
      <c r="D104" s="133">
        <v>20</v>
      </c>
      <c r="E104" s="133">
        <f t="shared" si="14"/>
        <v>2</v>
      </c>
      <c r="F104" s="114">
        <f t="shared" si="15"/>
        <v>0.1111111111111111</v>
      </c>
    </row>
    <row r="105" spans="1:6" x14ac:dyDescent="0.25">
      <c r="A105" s="115">
        <v>6</v>
      </c>
      <c r="B105" s="116" t="s">
        <v>118</v>
      </c>
      <c r="C105" s="133">
        <v>1107</v>
      </c>
      <c r="D105" s="133">
        <v>1127</v>
      </c>
      <c r="E105" s="133">
        <f t="shared" si="14"/>
        <v>20</v>
      </c>
      <c r="F105" s="114">
        <f t="shared" si="15"/>
        <v>1.8066847335140017E-2</v>
      </c>
    </row>
    <row r="106" spans="1:6" x14ac:dyDescent="0.25">
      <c r="A106" s="115">
        <v>7</v>
      </c>
      <c r="B106" s="116" t="s">
        <v>119</v>
      </c>
      <c r="C106" s="133">
        <v>617</v>
      </c>
      <c r="D106" s="133">
        <v>596</v>
      </c>
      <c r="E106" s="133">
        <f t="shared" si="14"/>
        <v>-21</v>
      </c>
      <c r="F106" s="114">
        <f t="shared" si="15"/>
        <v>-3.4035656401944892E-2</v>
      </c>
    </row>
    <row r="107" spans="1:6" x14ac:dyDescent="0.25">
      <c r="A107" s="115">
        <v>8</v>
      </c>
      <c r="B107" s="116" t="s">
        <v>120</v>
      </c>
      <c r="C107" s="133">
        <v>7</v>
      </c>
      <c r="D107" s="133">
        <v>9</v>
      </c>
      <c r="E107" s="133">
        <f t="shared" si="14"/>
        <v>2</v>
      </c>
      <c r="F107" s="114">
        <f t="shared" si="15"/>
        <v>0.2857142857142857</v>
      </c>
    </row>
    <row r="108" spans="1:6" x14ac:dyDescent="0.25">
      <c r="A108" s="115">
        <v>9</v>
      </c>
      <c r="B108" s="116" t="s">
        <v>121</v>
      </c>
      <c r="C108" s="133">
        <v>102</v>
      </c>
      <c r="D108" s="133">
        <v>88</v>
      </c>
      <c r="E108" s="133">
        <f t="shared" si="14"/>
        <v>-14</v>
      </c>
      <c r="F108" s="114">
        <f t="shared" si="15"/>
        <v>-0.13725490196078433</v>
      </c>
    </row>
    <row r="109" spans="1:6" x14ac:dyDescent="0.25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5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6" x14ac:dyDescent="0.3">
      <c r="A111" s="117"/>
      <c r="B111" s="118" t="s">
        <v>138</v>
      </c>
      <c r="C111" s="134">
        <f>SUM(C100:C110)</f>
        <v>7071</v>
      </c>
      <c r="D111" s="134">
        <f>SUM(D100:D110)</f>
        <v>6709</v>
      </c>
      <c r="E111" s="134">
        <f t="shared" si="14"/>
        <v>-362</v>
      </c>
      <c r="F111" s="120">
        <f t="shared" si="15"/>
        <v>-5.1195021920520438E-2</v>
      </c>
    </row>
    <row r="112" spans="1:6" ht="15.6" x14ac:dyDescent="0.3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5">
      <c r="A113" s="115">
        <v>1</v>
      </c>
      <c r="B113" s="116" t="s">
        <v>113</v>
      </c>
      <c r="C113" s="133">
        <v>11052</v>
      </c>
      <c r="D113" s="133">
        <v>9867</v>
      </c>
      <c r="E113" s="133">
        <f t="shared" ref="E113:E124" si="16">D113-C113</f>
        <v>-1185</v>
      </c>
      <c r="F113" s="114">
        <f t="shared" ref="F113:F124" si="17">IF(C113=0,0,E113/C113)</f>
        <v>-0.10722041259500543</v>
      </c>
    </row>
    <row r="114" spans="1:6" x14ac:dyDescent="0.25">
      <c r="A114" s="115">
        <v>2</v>
      </c>
      <c r="B114" s="116" t="s">
        <v>114</v>
      </c>
      <c r="C114" s="133">
        <v>3817</v>
      </c>
      <c r="D114" s="133">
        <v>3773</v>
      </c>
      <c r="E114" s="133">
        <f t="shared" si="16"/>
        <v>-44</v>
      </c>
      <c r="F114" s="114">
        <f t="shared" si="17"/>
        <v>-1.1527377521613832E-2</v>
      </c>
    </row>
    <row r="115" spans="1:6" x14ac:dyDescent="0.25">
      <c r="A115" s="115">
        <v>3</v>
      </c>
      <c r="B115" s="116" t="s">
        <v>115</v>
      </c>
      <c r="C115" s="133">
        <v>7135</v>
      </c>
      <c r="D115" s="133">
        <v>6501</v>
      </c>
      <c r="E115" s="133">
        <f t="shared" si="16"/>
        <v>-634</v>
      </c>
      <c r="F115" s="114">
        <f t="shared" si="17"/>
        <v>-8.8857743517869653E-2</v>
      </c>
    </row>
    <row r="116" spans="1:6" x14ac:dyDescent="0.25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5">
      <c r="A117" s="115">
        <v>5</v>
      </c>
      <c r="B117" s="116" t="s">
        <v>117</v>
      </c>
      <c r="C117" s="133">
        <v>50</v>
      </c>
      <c r="D117" s="133">
        <v>47</v>
      </c>
      <c r="E117" s="133">
        <f t="shared" si="16"/>
        <v>-3</v>
      </c>
      <c r="F117" s="114">
        <f t="shared" si="17"/>
        <v>-0.06</v>
      </c>
    </row>
    <row r="118" spans="1:6" x14ac:dyDescent="0.25">
      <c r="A118" s="115">
        <v>6</v>
      </c>
      <c r="B118" s="116" t="s">
        <v>118</v>
      </c>
      <c r="C118" s="133">
        <v>3588</v>
      </c>
      <c r="D118" s="133">
        <v>3457</v>
      </c>
      <c r="E118" s="133">
        <f t="shared" si="16"/>
        <v>-131</v>
      </c>
      <c r="F118" s="114">
        <f t="shared" si="17"/>
        <v>-3.6510590858416944E-2</v>
      </c>
    </row>
    <row r="119" spans="1:6" x14ac:dyDescent="0.25">
      <c r="A119" s="115">
        <v>7</v>
      </c>
      <c r="B119" s="116" t="s">
        <v>119</v>
      </c>
      <c r="C119" s="133">
        <v>2059</v>
      </c>
      <c r="D119" s="133">
        <v>1735</v>
      </c>
      <c r="E119" s="133">
        <f t="shared" si="16"/>
        <v>-324</v>
      </c>
      <c r="F119" s="114">
        <f t="shared" si="17"/>
        <v>-0.15735794074793588</v>
      </c>
    </row>
    <row r="120" spans="1:6" x14ac:dyDescent="0.25">
      <c r="A120" s="115">
        <v>8</v>
      </c>
      <c r="B120" s="116" t="s">
        <v>120</v>
      </c>
      <c r="C120" s="133">
        <v>19</v>
      </c>
      <c r="D120" s="133">
        <v>27</v>
      </c>
      <c r="E120" s="133">
        <f t="shared" si="16"/>
        <v>8</v>
      </c>
      <c r="F120" s="114">
        <f t="shared" si="17"/>
        <v>0.42105263157894735</v>
      </c>
    </row>
    <row r="121" spans="1:6" x14ac:dyDescent="0.25">
      <c r="A121" s="115">
        <v>9</v>
      </c>
      <c r="B121" s="116" t="s">
        <v>121</v>
      </c>
      <c r="C121" s="133">
        <v>360</v>
      </c>
      <c r="D121" s="133">
        <v>286</v>
      </c>
      <c r="E121" s="133">
        <f t="shared" si="16"/>
        <v>-74</v>
      </c>
      <c r="F121" s="114">
        <f t="shared" si="17"/>
        <v>-0.20555555555555555</v>
      </c>
    </row>
    <row r="122" spans="1:6" x14ac:dyDescent="0.25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5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6" x14ac:dyDescent="0.3">
      <c r="A124" s="117"/>
      <c r="B124" s="118" t="s">
        <v>140</v>
      </c>
      <c r="C124" s="134">
        <f>SUM(C113:C123)</f>
        <v>28080</v>
      </c>
      <c r="D124" s="134">
        <f>SUM(D113:D123)</f>
        <v>25693</v>
      </c>
      <c r="E124" s="134">
        <f t="shared" si="16"/>
        <v>-2387</v>
      </c>
      <c r="F124" s="120">
        <f t="shared" si="17"/>
        <v>-8.5007122507122501E-2</v>
      </c>
    </row>
    <row r="125" spans="1:6" ht="15.6" x14ac:dyDescent="0.3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5">
      <c r="A126" s="115">
        <v>1</v>
      </c>
      <c r="B126" s="116" t="s">
        <v>113</v>
      </c>
      <c r="C126" s="133">
        <v>60871</v>
      </c>
      <c r="D126" s="133">
        <v>65198</v>
      </c>
      <c r="E126" s="133">
        <f t="shared" ref="E126:E137" si="18">D126-C126</f>
        <v>4327</v>
      </c>
      <c r="F126" s="114">
        <f t="shared" ref="F126:F137" si="19">IF(C126=0,0,E126/C126)</f>
        <v>7.1084753002250659E-2</v>
      </c>
    </row>
    <row r="127" spans="1:6" x14ac:dyDescent="0.25">
      <c r="A127" s="115">
        <v>2</v>
      </c>
      <c r="B127" s="116" t="s">
        <v>114</v>
      </c>
      <c r="C127" s="133">
        <v>18742</v>
      </c>
      <c r="D127" s="133">
        <v>22383</v>
      </c>
      <c r="E127" s="133">
        <f t="shared" si="18"/>
        <v>3641</v>
      </c>
      <c r="F127" s="114">
        <f t="shared" si="19"/>
        <v>0.19426955501013765</v>
      </c>
    </row>
    <row r="128" spans="1:6" x14ac:dyDescent="0.25">
      <c r="A128" s="115">
        <v>3</v>
      </c>
      <c r="B128" s="116" t="s">
        <v>115</v>
      </c>
      <c r="C128" s="133">
        <v>49020</v>
      </c>
      <c r="D128" s="133">
        <v>48810</v>
      </c>
      <c r="E128" s="133">
        <f t="shared" si="18"/>
        <v>-210</v>
      </c>
      <c r="F128" s="114">
        <f t="shared" si="19"/>
        <v>-4.2839657282741734E-3</v>
      </c>
    </row>
    <row r="129" spans="1:6" x14ac:dyDescent="0.25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5">
      <c r="A130" s="115">
        <v>5</v>
      </c>
      <c r="B130" s="116" t="s">
        <v>117</v>
      </c>
      <c r="C130" s="133">
        <v>870</v>
      </c>
      <c r="D130" s="133">
        <v>355</v>
      </c>
      <c r="E130" s="133">
        <f t="shared" si="18"/>
        <v>-515</v>
      </c>
      <c r="F130" s="114">
        <f t="shared" si="19"/>
        <v>-0.59195402298850575</v>
      </c>
    </row>
    <row r="131" spans="1:6" x14ac:dyDescent="0.25">
      <c r="A131" s="115">
        <v>6</v>
      </c>
      <c r="B131" s="116" t="s">
        <v>118</v>
      </c>
      <c r="C131" s="133">
        <v>49695</v>
      </c>
      <c r="D131" s="133">
        <v>52727</v>
      </c>
      <c r="E131" s="133">
        <f t="shared" si="18"/>
        <v>3032</v>
      </c>
      <c r="F131" s="114">
        <f t="shared" si="19"/>
        <v>6.1012174263004329E-2</v>
      </c>
    </row>
    <row r="132" spans="1:6" x14ac:dyDescent="0.25">
      <c r="A132" s="115">
        <v>7</v>
      </c>
      <c r="B132" s="116" t="s">
        <v>119</v>
      </c>
      <c r="C132" s="133">
        <v>22676</v>
      </c>
      <c r="D132" s="133">
        <v>23492</v>
      </c>
      <c r="E132" s="133">
        <f t="shared" si="18"/>
        <v>816</v>
      </c>
      <c r="F132" s="114">
        <f t="shared" si="19"/>
        <v>3.5985182571882164E-2</v>
      </c>
    </row>
    <row r="133" spans="1:6" x14ac:dyDescent="0.25">
      <c r="A133" s="115">
        <v>8</v>
      </c>
      <c r="B133" s="116" t="s">
        <v>120</v>
      </c>
      <c r="C133" s="133">
        <v>2569</v>
      </c>
      <c r="D133" s="133">
        <v>2984</v>
      </c>
      <c r="E133" s="133">
        <f t="shared" si="18"/>
        <v>415</v>
      </c>
      <c r="F133" s="114">
        <f t="shared" si="19"/>
        <v>0.16154145581938498</v>
      </c>
    </row>
    <row r="134" spans="1:6" x14ac:dyDescent="0.25">
      <c r="A134" s="115">
        <v>9</v>
      </c>
      <c r="B134" s="116" t="s">
        <v>121</v>
      </c>
      <c r="C134" s="133">
        <v>3869</v>
      </c>
      <c r="D134" s="133">
        <v>3963</v>
      </c>
      <c r="E134" s="133">
        <f t="shared" si="18"/>
        <v>94</v>
      </c>
      <c r="F134" s="114">
        <f t="shared" si="19"/>
        <v>2.429568363918325E-2</v>
      </c>
    </row>
    <row r="135" spans="1:6" x14ac:dyDescent="0.25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5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6" x14ac:dyDescent="0.3">
      <c r="A137" s="117"/>
      <c r="B137" s="118" t="s">
        <v>142</v>
      </c>
      <c r="C137" s="134">
        <f>SUM(C126:C136)</f>
        <v>208312</v>
      </c>
      <c r="D137" s="134">
        <f>SUM(D126:D136)</f>
        <v>219912</v>
      </c>
      <c r="E137" s="134">
        <f t="shared" si="18"/>
        <v>11600</v>
      </c>
      <c r="F137" s="120">
        <f t="shared" si="19"/>
        <v>5.5685702215906907E-2</v>
      </c>
    </row>
    <row r="138" spans="1:6" x14ac:dyDescent="0.25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5">
      <c r="A139" s="770"/>
      <c r="B139" s="772"/>
      <c r="C139" s="776"/>
      <c r="D139" s="777"/>
      <c r="E139" s="777"/>
      <c r="F139" s="778"/>
    </row>
    <row r="140" spans="1:6" ht="15.6" x14ac:dyDescent="0.3">
      <c r="A140" s="110"/>
      <c r="B140" s="111"/>
      <c r="C140" s="112"/>
      <c r="D140" s="112"/>
      <c r="E140" s="112"/>
      <c r="F140" s="112"/>
    </row>
    <row r="141" spans="1:6" ht="31.2" x14ac:dyDescent="0.3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5">
      <c r="A142" s="115">
        <v>1</v>
      </c>
      <c r="B142" s="116" t="s">
        <v>113</v>
      </c>
      <c r="C142" s="113">
        <v>7211710</v>
      </c>
      <c r="D142" s="113">
        <v>6620805</v>
      </c>
      <c r="E142" s="113">
        <f t="shared" ref="E142:E153" si="20">D142-C142</f>
        <v>-590905</v>
      </c>
      <c r="F142" s="114">
        <f t="shared" ref="F142:F153" si="21">IF(C142=0,0,E142/C142)</f>
        <v>-8.1936877661470023E-2</v>
      </c>
    </row>
    <row r="143" spans="1:6" x14ac:dyDescent="0.25">
      <c r="A143" s="115">
        <v>2</v>
      </c>
      <c r="B143" s="116" t="s">
        <v>114</v>
      </c>
      <c r="C143" s="113">
        <v>2915456</v>
      </c>
      <c r="D143" s="113">
        <v>3105717</v>
      </c>
      <c r="E143" s="113">
        <f t="shared" si="20"/>
        <v>190261</v>
      </c>
      <c r="F143" s="114">
        <f t="shared" si="21"/>
        <v>6.5259431114720989E-2</v>
      </c>
    </row>
    <row r="144" spans="1:6" x14ac:dyDescent="0.25">
      <c r="A144" s="115">
        <v>3</v>
      </c>
      <c r="B144" s="116" t="s">
        <v>115</v>
      </c>
      <c r="C144" s="113">
        <v>17798416</v>
      </c>
      <c r="D144" s="113">
        <v>16045871</v>
      </c>
      <c r="E144" s="113">
        <f t="shared" si="20"/>
        <v>-1752545</v>
      </c>
      <c r="F144" s="114">
        <f t="shared" si="21"/>
        <v>-9.8466346668152946E-2</v>
      </c>
    </row>
    <row r="145" spans="1:6" x14ac:dyDescent="0.25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5">
      <c r="A146" s="115">
        <v>5</v>
      </c>
      <c r="B146" s="116" t="s">
        <v>117</v>
      </c>
      <c r="C146" s="113">
        <v>155740</v>
      </c>
      <c r="D146" s="113">
        <v>110519</v>
      </c>
      <c r="E146" s="113">
        <f t="shared" si="20"/>
        <v>-45221</v>
      </c>
      <c r="F146" s="114">
        <f t="shared" si="21"/>
        <v>-0.29036214203159111</v>
      </c>
    </row>
    <row r="147" spans="1:6" x14ac:dyDescent="0.25">
      <c r="A147" s="115">
        <v>6</v>
      </c>
      <c r="B147" s="116" t="s">
        <v>118</v>
      </c>
      <c r="C147" s="113">
        <v>7580686</v>
      </c>
      <c r="D147" s="113">
        <v>7132298</v>
      </c>
      <c r="E147" s="113">
        <f t="shared" si="20"/>
        <v>-448388</v>
      </c>
      <c r="F147" s="114">
        <f t="shared" si="21"/>
        <v>-5.9148736671061165E-2</v>
      </c>
    </row>
    <row r="148" spans="1:6" x14ac:dyDescent="0.25">
      <c r="A148" s="115">
        <v>7</v>
      </c>
      <c r="B148" s="116" t="s">
        <v>119</v>
      </c>
      <c r="C148" s="113">
        <v>3963213</v>
      </c>
      <c r="D148" s="113">
        <v>3623801</v>
      </c>
      <c r="E148" s="113">
        <f t="shared" si="20"/>
        <v>-339412</v>
      </c>
      <c r="F148" s="114">
        <f t="shared" si="21"/>
        <v>-8.5640615329027225E-2</v>
      </c>
    </row>
    <row r="149" spans="1:6" x14ac:dyDescent="0.25">
      <c r="A149" s="115">
        <v>8</v>
      </c>
      <c r="B149" s="116" t="s">
        <v>120</v>
      </c>
      <c r="C149" s="113">
        <v>578158</v>
      </c>
      <c r="D149" s="113">
        <v>484689</v>
      </c>
      <c r="E149" s="113">
        <f t="shared" si="20"/>
        <v>-93469</v>
      </c>
      <c r="F149" s="114">
        <f t="shared" si="21"/>
        <v>-0.16166687998782339</v>
      </c>
    </row>
    <row r="150" spans="1:6" x14ac:dyDescent="0.25">
      <c r="A150" s="115">
        <v>9</v>
      </c>
      <c r="B150" s="116" t="s">
        <v>121</v>
      </c>
      <c r="C150" s="113">
        <v>2078499</v>
      </c>
      <c r="D150" s="113">
        <v>2052754</v>
      </c>
      <c r="E150" s="113">
        <f t="shared" si="20"/>
        <v>-25745</v>
      </c>
      <c r="F150" s="114">
        <f t="shared" si="21"/>
        <v>-1.2386342259486293E-2</v>
      </c>
    </row>
    <row r="151" spans="1:6" x14ac:dyDescent="0.25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5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3">
      <c r="A153" s="117"/>
      <c r="B153" s="118" t="s">
        <v>146</v>
      </c>
      <c r="C153" s="119">
        <f>SUM(C142:C152)</f>
        <v>42281878</v>
      </c>
      <c r="D153" s="119">
        <f>SUM(D142:D152)</f>
        <v>39176454</v>
      </c>
      <c r="E153" s="119">
        <f t="shared" si="20"/>
        <v>-3105424</v>
      </c>
      <c r="F153" s="120">
        <f t="shared" si="21"/>
        <v>-7.3445744297355953E-2</v>
      </c>
    </row>
    <row r="154" spans="1:6" ht="31.2" x14ac:dyDescent="0.3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5">
      <c r="A155" s="115">
        <v>1</v>
      </c>
      <c r="B155" s="116" t="s">
        <v>113</v>
      </c>
      <c r="C155" s="113">
        <v>1592960</v>
      </c>
      <c r="D155" s="113">
        <v>1398456</v>
      </c>
      <c r="E155" s="113">
        <f t="shared" ref="E155:E166" si="22">D155-C155</f>
        <v>-194504</v>
      </c>
      <c r="F155" s="114">
        <f t="shared" ref="F155:F166" si="23">IF(C155=0,0,E155/C155)</f>
        <v>-0.12210224989955805</v>
      </c>
    </row>
    <row r="156" spans="1:6" x14ac:dyDescent="0.25">
      <c r="A156" s="115">
        <v>2</v>
      </c>
      <c r="B156" s="116" t="s">
        <v>114</v>
      </c>
      <c r="C156" s="113">
        <v>500011</v>
      </c>
      <c r="D156" s="113">
        <v>476373</v>
      </c>
      <c r="E156" s="113">
        <f t="shared" si="22"/>
        <v>-23638</v>
      </c>
      <c r="F156" s="114">
        <f t="shared" si="23"/>
        <v>-4.7274959950881081E-2</v>
      </c>
    </row>
    <row r="157" spans="1:6" x14ac:dyDescent="0.25">
      <c r="A157" s="115">
        <v>3</v>
      </c>
      <c r="B157" s="116" t="s">
        <v>115</v>
      </c>
      <c r="C157" s="113">
        <v>3772329</v>
      </c>
      <c r="D157" s="113">
        <v>3354021</v>
      </c>
      <c r="E157" s="113">
        <f t="shared" si="22"/>
        <v>-418308</v>
      </c>
      <c r="F157" s="114">
        <f t="shared" si="23"/>
        <v>-0.11088852536456921</v>
      </c>
    </row>
    <row r="158" spans="1:6" x14ac:dyDescent="0.25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5">
      <c r="A159" s="115">
        <v>5</v>
      </c>
      <c r="B159" s="116" t="s">
        <v>117</v>
      </c>
      <c r="C159" s="113">
        <v>38250</v>
      </c>
      <c r="D159" s="113">
        <v>9077</v>
      </c>
      <c r="E159" s="113">
        <f t="shared" si="22"/>
        <v>-29173</v>
      </c>
      <c r="F159" s="114">
        <f t="shared" si="23"/>
        <v>-0.76269281045751636</v>
      </c>
    </row>
    <row r="160" spans="1:6" x14ac:dyDescent="0.25">
      <c r="A160" s="115">
        <v>6</v>
      </c>
      <c r="B160" s="116" t="s">
        <v>118</v>
      </c>
      <c r="C160" s="113">
        <v>2843526</v>
      </c>
      <c r="D160" s="113">
        <v>2748381</v>
      </c>
      <c r="E160" s="113">
        <f t="shared" si="22"/>
        <v>-95145</v>
      </c>
      <c r="F160" s="114">
        <f t="shared" si="23"/>
        <v>-3.3460218053219838E-2</v>
      </c>
    </row>
    <row r="161" spans="1:6" x14ac:dyDescent="0.25">
      <c r="A161" s="115">
        <v>7</v>
      </c>
      <c r="B161" s="116" t="s">
        <v>119</v>
      </c>
      <c r="C161" s="113">
        <v>1705763</v>
      </c>
      <c r="D161" s="113">
        <v>1298108</v>
      </c>
      <c r="E161" s="113">
        <f t="shared" si="22"/>
        <v>-407655</v>
      </c>
      <c r="F161" s="114">
        <f t="shared" si="23"/>
        <v>-0.23898689325539363</v>
      </c>
    </row>
    <row r="162" spans="1:6" x14ac:dyDescent="0.25">
      <c r="A162" s="115">
        <v>8</v>
      </c>
      <c r="B162" s="116" t="s">
        <v>120</v>
      </c>
      <c r="C162" s="113">
        <v>578158</v>
      </c>
      <c r="D162" s="113">
        <v>484689</v>
      </c>
      <c r="E162" s="113">
        <f t="shared" si="22"/>
        <v>-93469</v>
      </c>
      <c r="F162" s="114">
        <f t="shared" si="23"/>
        <v>-0.16166687998782339</v>
      </c>
    </row>
    <row r="163" spans="1:6" x14ac:dyDescent="0.25">
      <c r="A163" s="115">
        <v>9</v>
      </c>
      <c r="B163" s="116" t="s">
        <v>121</v>
      </c>
      <c r="C163" s="113">
        <v>43869</v>
      </c>
      <c r="D163" s="113">
        <v>51140</v>
      </c>
      <c r="E163" s="113">
        <f t="shared" si="22"/>
        <v>7271</v>
      </c>
      <c r="F163" s="114">
        <f t="shared" si="23"/>
        <v>0.16574346349358318</v>
      </c>
    </row>
    <row r="164" spans="1:6" x14ac:dyDescent="0.25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5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3">
      <c r="A166" s="117"/>
      <c r="B166" s="118" t="s">
        <v>148</v>
      </c>
      <c r="C166" s="119">
        <f>SUM(C155:C165)</f>
        <v>11074866</v>
      </c>
      <c r="D166" s="119">
        <f>SUM(D155:D165)</f>
        <v>9820245</v>
      </c>
      <c r="E166" s="119">
        <f t="shared" si="22"/>
        <v>-1254621</v>
      </c>
      <c r="F166" s="120">
        <f t="shared" si="23"/>
        <v>-0.11328543388245059</v>
      </c>
    </row>
    <row r="167" spans="1:6" ht="15.6" x14ac:dyDescent="0.3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5">
      <c r="A168" s="115">
        <v>1</v>
      </c>
      <c r="B168" s="116" t="s">
        <v>113</v>
      </c>
      <c r="C168" s="133">
        <v>4892</v>
      </c>
      <c r="D168" s="133">
        <v>4790</v>
      </c>
      <c r="E168" s="133">
        <f t="shared" ref="E168:E179" si="24">D168-C168</f>
        <v>-102</v>
      </c>
      <c r="F168" s="114">
        <f t="shared" ref="F168:F179" si="25">IF(C168=0,0,E168/C168)</f>
        <v>-2.0850367947669663E-2</v>
      </c>
    </row>
    <row r="169" spans="1:6" x14ac:dyDescent="0.25">
      <c r="A169" s="115">
        <v>2</v>
      </c>
      <c r="B169" s="116" t="s">
        <v>114</v>
      </c>
      <c r="C169" s="133">
        <v>2017</v>
      </c>
      <c r="D169" s="133">
        <v>2478</v>
      </c>
      <c r="E169" s="133">
        <f t="shared" si="24"/>
        <v>461</v>
      </c>
      <c r="F169" s="114">
        <f t="shared" si="25"/>
        <v>0.22855726326227069</v>
      </c>
    </row>
    <row r="170" spans="1:6" x14ac:dyDescent="0.25">
      <c r="A170" s="115">
        <v>3</v>
      </c>
      <c r="B170" s="116" t="s">
        <v>115</v>
      </c>
      <c r="C170" s="133">
        <v>16023</v>
      </c>
      <c r="D170" s="133">
        <v>15430</v>
      </c>
      <c r="E170" s="133">
        <f t="shared" si="24"/>
        <v>-593</v>
      </c>
      <c r="F170" s="114">
        <f t="shared" si="25"/>
        <v>-3.7009299132497037E-2</v>
      </c>
    </row>
    <row r="171" spans="1:6" x14ac:dyDescent="0.25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5">
      <c r="A172" s="115">
        <v>5</v>
      </c>
      <c r="B172" s="116" t="s">
        <v>117</v>
      </c>
      <c r="C172" s="133">
        <v>129</v>
      </c>
      <c r="D172" s="133">
        <v>88</v>
      </c>
      <c r="E172" s="133">
        <f t="shared" si="24"/>
        <v>-41</v>
      </c>
      <c r="F172" s="114">
        <f t="shared" si="25"/>
        <v>-0.31782945736434109</v>
      </c>
    </row>
    <row r="173" spans="1:6" x14ac:dyDescent="0.25">
      <c r="A173" s="115">
        <v>6</v>
      </c>
      <c r="B173" s="116" t="s">
        <v>118</v>
      </c>
      <c r="C173" s="133">
        <v>5797</v>
      </c>
      <c r="D173" s="133">
        <v>5443</v>
      </c>
      <c r="E173" s="133">
        <f t="shared" si="24"/>
        <v>-354</v>
      </c>
      <c r="F173" s="114">
        <f t="shared" si="25"/>
        <v>-6.1066068656201483E-2</v>
      </c>
    </row>
    <row r="174" spans="1:6" x14ac:dyDescent="0.25">
      <c r="A174" s="115">
        <v>7</v>
      </c>
      <c r="B174" s="116" t="s">
        <v>119</v>
      </c>
      <c r="C174" s="133">
        <v>3191</v>
      </c>
      <c r="D174" s="133">
        <v>3133</v>
      </c>
      <c r="E174" s="133">
        <f t="shared" si="24"/>
        <v>-58</v>
      </c>
      <c r="F174" s="114">
        <f t="shared" si="25"/>
        <v>-1.8176120338451895E-2</v>
      </c>
    </row>
    <row r="175" spans="1:6" x14ac:dyDescent="0.25">
      <c r="A175" s="115">
        <v>8</v>
      </c>
      <c r="B175" s="116" t="s">
        <v>120</v>
      </c>
      <c r="C175" s="133">
        <v>533</v>
      </c>
      <c r="D175" s="133">
        <v>477</v>
      </c>
      <c r="E175" s="133">
        <f t="shared" si="24"/>
        <v>-56</v>
      </c>
      <c r="F175" s="114">
        <f t="shared" si="25"/>
        <v>-0.1050656660412758</v>
      </c>
    </row>
    <row r="176" spans="1:6" x14ac:dyDescent="0.25">
      <c r="A176" s="115">
        <v>9</v>
      </c>
      <c r="B176" s="116" t="s">
        <v>121</v>
      </c>
      <c r="C176" s="133">
        <v>1728</v>
      </c>
      <c r="D176" s="133">
        <v>1916</v>
      </c>
      <c r="E176" s="133">
        <f t="shared" si="24"/>
        <v>188</v>
      </c>
      <c r="F176" s="114">
        <f t="shared" si="25"/>
        <v>0.10879629629629629</v>
      </c>
    </row>
    <row r="177" spans="1:6" x14ac:dyDescent="0.25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5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3">
      <c r="A179" s="117"/>
      <c r="B179" s="118" t="s">
        <v>150</v>
      </c>
      <c r="C179" s="134">
        <f>SUM(C168:C178)</f>
        <v>34310</v>
      </c>
      <c r="D179" s="134">
        <f>SUM(D168:D178)</f>
        <v>33755</v>
      </c>
      <c r="E179" s="134">
        <f t="shared" si="24"/>
        <v>-555</v>
      </c>
      <c r="F179" s="120">
        <f t="shared" si="25"/>
        <v>-1.6176041970271057E-2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scale="75" fitToHeight="0" orientation="portrait" r:id="rId1"/>
  <headerFooter>
    <oddHeader>&amp;LOFFICE OF HEALTH CARE ACCESS&amp;CTWELVE MONTHS ACTUAL FILING&amp;RBRISTOL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sqref="A1:F1"/>
    </sheetView>
  </sheetViews>
  <sheetFormatPr defaultColWidth="9.109375" defaultRowHeight="15" customHeight="1" x14ac:dyDescent="0.25"/>
  <cols>
    <col min="1" max="1" width="8.88671875" style="137" bestFit="1" customWidth="1"/>
    <col min="2" max="2" width="54.88671875" style="137" customWidth="1"/>
    <col min="3" max="3" width="18.33203125" style="172" customWidth="1"/>
    <col min="4" max="4" width="18.109375" style="137" customWidth="1"/>
    <col min="5" max="5" width="19" style="137" bestFit="1" customWidth="1"/>
    <col min="6" max="6" width="17.44140625" style="137" customWidth="1"/>
    <col min="7" max="7" width="101.6640625" style="137" customWidth="1"/>
    <col min="8" max="16384" width="9.109375" style="137"/>
  </cols>
  <sheetData>
    <row r="1" spans="1:6" ht="18" customHeight="1" x14ac:dyDescent="0.3">
      <c r="A1" s="783"/>
      <c r="B1" s="784"/>
      <c r="C1" s="784"/>
      <c r="D1" s="784"/>
      <c r="E1" s="784"/>
      <c r="F1" s="785"/>
    </row>
    <row r="2" spans="1:6" ht="15.75" customHeight="1" x14ac:dyDescent="0.3">
      <c r="A2" s="783" t="s">
        <v>0</v>
      </c>
      <c r="B2" s="784"/>
      <c r="C2" s="784"/>
      <c r="D2" s="784"/>
      <c r="E2" s="784"/>
      <c r="F2" s="785"/>
    </row>
    <row r="3" spans="1:6" ht="15.75" customHeight="1" x14ac:dyDescent="0.3">
      <c r="A3" s="783" t="s">
        <v>1</v>
      </c>
      <c r="B3" s="784"/>
      <c r="C3" s="784"/>
      <c r="D3" s="784"/>
      <c r="E3" s="784"/>
      <c r="F3" s="785"/>
    </row>
    <row r="4" spans="1:6" ht="15.75" customHeight="1" x14ac:dyDescent="0.3">
      <c r="A4" s="783" t="s">
        <v>2</v>
      </c>
      <c r="B4" s="784"/>
      <c r="C4" s="784"/>
      <c r="D4" s="784"/>
      <c r="E4" s="784"/>
      <c r="F4" s="785"/>
    </row>
    <row r="5" spans="1:6" ht="15.75" customHeight="1" x14ac:dyDescent="0.3">
      <c r="A5" s="783" t="s">
        <v>151</v>
      </c>
      <c r="B5" s="784"/>
      <c r="C5" s="784"/>
      <c r="D5" s="784"/>
      <c r="E5" s="784"/>
      <c r="F5" s="785"/>
    </row>
    <row r="6" spans="1:6" ht="15.75" customHeight="1" x14ac:dyDescent="0.3">
      <c r="A6" s="783"/>
      <c r="B6" s="784"/>
      <c r="C6" s="784"/>
      <c r="D6" s="784"/>
      <c r="E6" s="784"/>
      <c r="F6" s="785"/>
    </row>
    <row r="7" spans="1:6" ht="15" customHeight="1" x14ac:dyDescent="0.3">
      <c r="A7" s="783"/>
      <c r="B7" s="784"/>
      <c r="C7" s="784"/>
      <c r="D7" s="784"/>
      <c r="E7" s="784"/>
      <c r="F7" s="785"/>
    </row>
    <row r="8" spans="1:6" ht="15.75" customHeight="1" x14ac:dyDescent="0.3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3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3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3">
      <c r="A11" s="147"/>
      <c r="B11" s="148"/>
      <c r="C11" s="149"/>
      <c r="D11" s="149"/>
      <c r="E11" s="150"/>
      <c r="F11" s="151"/>
    </row>
    <row r="12" spans="1:6" ht="15.75" customHeight="1" x14ac:dyDescent="0.3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3">
      <c r="A13" s="147"/>
      <c r="B13" s="148"/>
      <c r="C13" s="149"/>
      <c r="D13" s="149"/>
      <c r="E13" s="149"/>
      <c r="F13" s="149"/>
    </row>
    <row r="14" spans="1:6" ht="15.75" customHeight="1" x14ac:dyDescent="0.3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5">
      <c r="A15" s="147">
        <v>1</v>
      </c>
      <c r="B15" s="160" t="s">
        <v>156</v>
      </c>
      <c r="C15" s="157">
        <v>22908235</v>
      </c>
      <c r="D15" s="157">
        <v>21706040</v>
      </c>
      <c r="E15" s="157">
        <f>+D15-C15</f>
        <v>-1202195</v>
      </c>
      <c r="F15" s="161">
        <f>IF(C15=0,0,E15/C15)</f>
        <v>-5.2478726536548975E-2</v>
      </c>
    </row>
    <row r="16" spans="1:6" ht="15" customHeight="1" x14ac:dyDescent="0.25">
      <c r="A16" s="147">
        <v>2</v>
      </c>
      <c r="B16" s="160" t="s">
        <v>157</v>
      </c>
      <c r="C16" s="157">
        <v>499496</v>
      </c>
      <c r="D16" s="157">
        <v>500850</v>
      </c>
      <c r="E16" s="157">
        <f>+D16-C16</f>
        <v>1354</v>
      </c>
      <c r="F16" s="161">
        <f>IF(C16=0,0,E16/C16)</f>
        <v>2.7107324182776239E-3</v>
      </c>
    </row>
    <row r="17" spans="1:6" ht="15" customHeight="1" x14ac:dyDescent="0.25">
      <c r="A17" s="147">
        <v>3</v>
      </c>
      <c r="B17" s="160" t="s">
        <v>158</v>
      </c>
      <c r="C17" s="157">
        <v>33579398</v>
      </c>
      <c r="D17" s="157">
        <v>32536369</v>
      </c>
      <c r="E17" s="157">
        <f>+D17-C17</f>
        <v>-1043029</v>
      </c>
      <c r="F17" s="161">
        <f>IF(C17=0,0,E17/C17)</f>
        <v>-3.1061575314721247E-2</v>
      </c>
    </row>
    <row r="18" spans="1:6" ht="15.75" customHeight="1" x14ac:dyDescent="0.3">
      <c r="A18" s="147"/>
      <c r="B18" s="162" t="s">
        <v>159</v>
      </c>
      <c r="C18" s="158">
        <f>SUM(C15:C17)</f>
        <v>56987129</v>
      </c>
      <c r="D18" s="158">
        <f>SUM(D15:D17)</f>
        <v>54743259</v>
      </c>
      <c r="E18" s="158">
        <f>+D18-C18</f>
        <v>-2243870</v>
      </c>
      <c r="F18" s="159">
        <f>IF(C18=0,0,E18/C18)</f>
        <v>-3.9375031509308003E-2</v>
      </c>
    </row>
    <row r="19" spans="1:6" ht="15.75" customHeight="1" x14ac:dyDescent="0.3">
      <c r="A19" s="147"/>
      <c r="B19" s="163"/>
      <c r="C19" s="157"/>
      <c r="D19" s="157"/>
      <c r="E19" s="158"/>
      <c r="F19" s="159"/>
    </row>
    <row r="20" spans="1:6" ht="15.75" customHeight="1" x14ac:dyDescent="0.3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5">
      <c r="A21" s="147">
        <v>1</v>
      </c>
      <c r="B21" s="160" t="s">
        <v>161</v>
      </c>
      <c r="C21" s="157">
        <v>5723680</v>
      </c>
      <c r="D21" s="157">
        <v>6218956</v>
      </c>
      <c r="E21" s="157">
        <f>+D21-C21</f>
        <v>495276</v>
      </c>
      <c r="F21" s="161">
        <f>IF(C21=0,0,E21/C21)</f>
        <v>8.6531042965364943E-2</v>
      </c>
    </row>
    <row r="22" spans="1:6" ht="15" customHeight="1" x14ac:dyDescent="0.25">
      <c r="A22" s="147">
        <v>2</v>
      </c>
      <c r="B22" s="160" t="s">
        <v>162</v>
      </c>
      <c r="C22" s="157">
        <v>124800</v>
      </c>
      <c r="D22" s="157">
        <v>143498</v>
      </c>
      <c r="E22" s="157">
        <f>+D22-C22</f>
        <v>18698</v>
      </c>
      <c r="F22" s="161">
        <f>IF(C22=0,0,E22/C22)</f>
        <v>0.14982371794871796</v>
      </c>
    </row>
    <row r="23" spans="1:6" ht="15" customHeight="1" x14ac:dyDescent="0.25">
      <c r="A23" s="147">
        <v>3</v>
      </c>
      <c r="B23" s="160" t="s">
        <v>163</v>
      </c>
      <c r="C23" s="157">
        <v>8389897</v>
      </c>
      <c r="D23" s="157">
        <v>9321933</v>
      </c>
      <c r="E23" s="157">
        <f>+D23-C23</f>
        <v>932036</v>
      </c>
      <c r="F23" s="161">
        <f>IF(C23=0,0,E23/C23)</f>
        <v>0.11109027917744402</v>
      </c>
    </row>
    <row r="24" spans="1:6" ht="15.75" customHeight="1" x14ac:dyDescent="0.3">
      <c r="A24" s="147"/>
      <c r="B24" s="162" t="s">
        <v>164</v>
      </c>
      <c r="C24" s="158">
        <f>SUM(C21:C23)</f>
        <v>14238377</v>
      </c>
      <c r="D24" s="158">
        <f>SUM(D21:D23)</f>
        <v>15684387</v>
      </c>
      <c r="E24" s="158">
        <f>+D24-C24</f>
        <v>1446010</v>
      </c>
      <c r="F24" s="159">
        <f>IF(C24=0,0,E24/C24)</f>
        <v>0.10155722102315454</v>
      </c>
    </row>
    <row r="25" spans="1:6" ht="15.75" customHeight="1" x14ac:dyDescent="0.3">
      <c r="A25" s="147"/>
      <c r="B25" s="163"/>
      <c r="C25" s="157"/>
      <c r="D25" s="157"/>
      <c r="E25" s="158"/>
      <c r="F25" s="159"/>
    </row>
    <row r="26" spans="1:6" ht="15.75" customHeight="1" x14ac:dyDescent="0.3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5">
      <c r="A27" s="147">
        <v>1</v>
      </c>
      <c r="B27" s="160" t="s">
        <v>166</v>
      </c>
      <c r="C27" s="157">
        <v>115372</v>
      </c>
      <c r="D27" s="157">
        <v>173031</v>
      </c>
      <c r="E27" s="157">
        <f>+D27-C27</f>
        <v>57659</v>
      </c>
      <c r="F27" s="161">
        <f>IF(C27=0,0,E27/C27)</f>
        <v>0.49976597441320253</v>
      </c>
    </row>
    <row r="28" spans="1:6" ht="15" customHeight="1" x14ac:dyDescent="0.25">
      <c r="A28" s="147">
        <v>2</v>
      </c>
      <c r="B28" s="160" t="s">
        <v>167</v>
      </c>
      <c r="C28" s="157">
        <v>12846687</v>
      </c>
      <c r="D28" s="157">
        <v>15127528</v>
      </c>
      <c r="E28" s="157">
        <f>+D28-C28</f>
        <v>2280841</v>
      </c>
      <c r="F28" s="161">
        <f>IF(C28=0,0,E28/C28)</f>
        <v>0.17754312843459175</v>
      </c>
    </row>
    <row r="29" spans="1:6" ht="15" customHeight="1" x14ac:dyDescent="0.25">
      <c r="A29" s="147">
        <v>3</v>
      </c>
      <c r="B29" s="160" t="s">
        <v>168</v>
      </c>
      <c r="C29" s="157">
        <v>1102480</v>
      </c>
      <c r="D29" s="157">
        <v>1314328</v>
      </c>
      <c r="E29" s="157">
        <f>+D29-C29</f>
        <v>211848</v>
      </c>
      <c r="F29" s="161">
        <f>IF(C29=0,0,E29/C29)</f>
        <v>0.19215586677309338</v>
      </c>
    </row>
    <row r="30" spans="1:6" ht="15.75" customHeight="1" x14ac:dyDescent="0.3">
      <c r="A30" s="147"/>
      <c r="B30" s="162" t="s">
        <v>169</v>
      </c>
      <c r="C30" s="158">
        <f>SUM(C27:C29)</f>
        <v>14064539</v>
      </c>
      <c r="D30" s="158">
        <f>SUM(D27:D29)</f>
        <v>16614887</v>
      </c>
      <c r="E30" s="158">
        <f>+D30-C30</f>
        <v>2550348</v>
      </c>
      <c r="F30" s="159">
        <f>IF(C30=0,0,E30/C30)</f>
        <v>0.18133178769670302</v>
      </c>
    </row>
    <row r="31" spans="1:6" ht="15.75" customHeight="1" x14ac:dyDescent="0.3">
      <c r="A31" s="147"/>
      <c r="B31" s="163"/>
      <c r="C31" s="157"/>
      <c r="D31" s="157"/>
      <c r="E31" s="158"/>
      <c r="F31" s="159"/>
    </row>
    <row r="32" spans="1:6" ht="15.75" customHeight="1" x14ac:dyDescent="0.3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5">
      <c r="A33" s="147">
        <v>1</v>
      </c>
      <c r="B33" s="160" t="s">
        <v>172</v>
      </c>
      <c r="C33" s="157">
        <v>10706507</v>
      </c>
      <c r="D33" s="157">
        <v>12140058</v>
      </c>
      <c r="E33" s="157">
        <f>+D33-C33</f>
        <v>1433551</v>
      </c>
      <c r="F33" s="161">
        <f>IF(C33=0,0,E33/C33)</f>
        <v>0.13389530310866093</v>
      </c>
    </row>
    <row r="34" spans="1:6" ht="15" customHeight="1" x14ac:dyDescent="0.25">
      <c r="A34" s="147">
        <v>2</v>
      </c>
      <c r="B34" s="160" t="s">
        <v>173</v>
      </c>
      <c r="C34" s="157">
        <v>9117103</v>
      </c>
      <c r="D34" s="157">
        <v>9131432</v>
      </c>
      <c r="E34" s="157">
        <f>+D34-C34</f>
        <v>14329</v>
      </c>
      <c r="F34" s="161">
        <f>IF(C34=0,0,E34/C34)</f>
        <v>1.5716615244996135E-3</v>
      </c>
    </row>
    <row r="35" spans="1:6" ht="15.75" customHeight="1" x14ac:dyDescent="0.3">
      <c r="A35" s="147"/>
      <c r="B35" s="162" t="s">
        <v>174</v>
      </c>
      <c r="C35" s="158">
        <f>SUM(C33:C34)</f>
        <v>19823610</v>
      </c>
      <c r="D35" s="158">
        <f>SUM(D33:D34)</f>
        <v>21271490</v>
      </c>
      <c r="E35" s="158">
        <f>+D35-C35</f>
        <v>1447880</v>
      </c>
      <c r="F35" s="159">
        <f>IF(C35=0,0,E35/C35)</f>
        <v>7.3038160052583762E-2</v>
      </c>
    </row>
    <row r="36" spans="1:6" ht="15.75" customHeight="1" x14ac:dyDescent="0.3">
      <c r="A36" s="147"/>
      <c r="B36" s="163"/>
      <c r="C36" s="157"/>
      <c r="D36" s="157"/>
      <c r="E36" s="158"/>
      <c r="F36" s="159"/>
    </row>
    <row r="37" spans="1:6" ht="15.75" customHeight="1" x14ac:dyDescent="0.3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5">
      <c r="A38" s="147">
        <v>1</v>
      </c>
      <c r="B38" s="160" t="s">
        <v>177</v>
      </c>
      <c r="C38" s="157">
        <v>2523109</v>
      </c>
      <c r="D38" s="157">
        <v>2637894</v>
      </c>
      <c r="E38" s="157">
        <f>+D38-C38</f>
        <v>114785</v>
      </c>
      <c r="F38" s="161">
        <f>IF(C38=0,0,E38/C38)</f>
        <v>4.5493476500618878E-2</v>
      </c>
    </row>
    <row r="39" spans="1:6" ht="15" customHeight="1" x14ac:dyDescent="0.25">
      <c r="A39" s="147">
        <v>2</v>
      </c>
      <c r="B39" s="160" t="s">
        <v>178</v>
      </c>
      <c r="C39" s="157">
        <v>4598961</v>
      </c>
      <c r="D39" s="157">
        <v>3933333</v>
      </c>
      <c r="E39" s="157">
        <f>+D39-C39</f>
        <v>-665628</v>
      </c>
      <c r="F39" s="161">
        <f>IF(C39=0,0,E39/C39)</f>
        <v>-0.14473443023326354</v>
      </c>
    </row>
    <row r="40" spans="1:6" ht="15" customHeight="1" x14ac:dyDescent="0.25">
      <c r="A40" s="147">
        <v>3</v>
      </c>
      <c r="B40" s="160" t="s">
        <v>179</v>
      </c>
      <c r="C40" s="157">
        <v>54594</v>
      </c>
      <c r="D40" s="157">
        <v>189183</v>
      </c>
      <c r="E40" s="157">
        <f>+D40-C40</f>
        <v>134589</v>
      </c>
      <c r="F40" s="161">
        <f>IF(C40=0,0,E40/C40)</f>
        <v>2.4652709088910871</v>
      </c>
    </row>
    <row r="41" spans="1:6" ht="15.75" customHeight="1" x14ac:dyDescent="0.3">
      <c r="A41" s="147"/>
      <c r="B41" s="162" t="s">
        <v>180</v>
      </c>
      <c r="C41" s="158">
        <f>SUM(C38:C40)</f>
        <v>7176664</v>
      </c>
      <c r="D41" s="158">
        <f>SUM(D38:D40)</f>
        <v>6760410</v>
      </c>
      <c r="E41" s="158">
        <f>+D41-C41</f>
        <v>-416254</v>
      </c>
      <c r="F41" s="159">
        <f>IF(C41=0,0,E41/C41)</f>
        <v>-5.8001043381716071E-2</v>
      </c>
    </row>
    <row r="42" spans="1:6" ht="15.75" customHeight="1" x14ac:dyDescent="0.3">
      <c r="A42" s="147"/>
      <c r="B42" s="163"/>
      <c r="C42" s="157"/>
      <c r="D42" s="157"/>
      <c r="E42" s="158"/>
      <c r="F42" s="159"/>
    </row>
    <row r="43" spans="1:6" ht="15.75" customHeight="1" x14ac:dyDescent="0.3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5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3">
      <c r="A45" s="147"/>
      <c r="B45" s="163"/>
      <c r="C45" s="157"/>
      <c r="D45" s="157"/>
      <c r="E45" s="158"/>
      <c r="F45" s="159"/>
    </row>
    <row r="46" spans="1:6" ht="15.75" customHeight="1" x14ac:dyDescent="0.3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5">
      <c r="A47" s="147">
        <v>1</v>
      </c>
      <c r="B47" s="160" t="s">
        <v>88</v>
      </c>
      <c r="C47" s="157">
        <v>1267462</v>
      </c>
      <c r="D47" s="157">
        <v>1044552</v>
      </c>
      <c r="E47" s="157">
        <f>+D47-C47</f>
        <v>-222910</v>
      </c>
      <c r="F47" s="161">
        <f>IF(C47=0,0,E47/C47)</f>
        <v>-0.17587115037768392</v>
      </c>
    </row>
    <row r="48" spans="1:6" ht="15.75" customHeight="1" x14ac:dyDescent="0.3">
      <c r="A48" s="147"/>
      <c r="B48" s="163"/>
      <c r="C48" s="157"/>
      <c r="D48" s="157"/>
      <c r="E48" s="158"/>
      <c r="F48" s="159"/>
    </row>
    <row r="49" spans="1:6" ht="15.75" customHeight="1" x14ac:dyDescent="0.3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5">
      <c r="A50" s="147">
        <v>1</v>
      </c>
      <c r="B50" s="160" t="s">
        <v>89</v>
      </c>
      <c r="C50" s="157">
        <v>317020</v>
      </c>
      <c r="D50" s="157">
        <v>638394</v>
      </c>
      <c r="E50" s="157">
        <f>+D50-C50</f>
        <v>321374</v>
      </c>
      <c r="F50" s="161">
        <f>IF(C50=0,0,E50/C50)</f>
        <v>1.0137341492650307</v>
      </c>
    </row>
    <row r="51" spans="1:6" ht="15.75" customHeight="1" x14ac:dyDescent="0.3">
      <c r="A51" s="147"/>
      <c r="B51" s="163"/>
      <c r="C51" s="157"/>
      <c r="D51" s="157"/>
      <c r="E51" s="158"/>
      <c r="F51" s="159"/>
    </row>
    <row r="52" spans="1:6" ht="15.75" customHeight="1" x14ac:dyDescent="0.3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5">
      <c r="A53" s="147">
        <v>1</v>
      </c>
      <c r="B53" s="160" t="s">
        <v>188</v>
      </c>
      <c r="C53" s="157">
        <v>64227</v>
      </c>
      <c r="D53" s="157">
        <v>67802</v>
      </c>
      <c r="E53" s="157">
        <f t="shared" ref="E53:E59" si="0">+D53-C53</f>
        <v>3575</v>
      </c>
      <c r="F53" s="161">
        <f t="shared" ref="F53:F59" si="1">IF(C53=0,0,E53/C53)</f>
        <v>5.5661949024553535E-2</v>
      </c>
    </row>
    <row r="54" spans="1:6" ht="15" customHeight="1" x14ac:dyDescent="0.25">
      <c r="A54" s="147">
        <v>2</v>
      </c>
      <c r="B54" s="160" t="s">
        <v>189</v>
      </c>
      <c r="C54" s="157">
        <v>593563</v>
      </c>
      <c r="D54" s="157">
        <v>477824</v>
      </c>
      <c r="E54" s="157">
        <f t="shared" si="0"/>
        <v>-115739</v>
      </c>
      <c r="F54" s="161">
        <f t="shared" si="1"/>
        <v>-0.19499025377255658</v>
      </c>
    </row>
    <row r="55" spans="1:6" ht="15" customHeight="1" x14ac:dyDescent="0.25">
      <c r="A55" s="147">
        <v>3</v>
      </c>
      <c r="B55" s="160" t="s">
        <v>190</v>
      </c>
      <c r="C55" s="157">
        <v>59000</v>
      </c>
      <c r="D55" s="157">
        <v>5968</v>
      </c>
      <c r="E55" s="157">
        <f t="shared" si="0"/>
        <v>-53032</v>
      </c>
      <c r="F55" s="161">
        <f t="shared" si="1"/>
        <v>-0.8988474576271186</v>
      </c>
    </row>
    <row r="56" spans="1:6" ht="15" customHeight="1" x14ac:dyDescent="0.25">
      <c r="A56" s="147">
        <v>4</v>
      </c>
      <c r="B56" s="160" t="s">
        <v>191</v>
      </c>
      <c r="C56" s="157">
        <v>1160507</v>
      </c>
      <c r="D56" s="157">
        <v>1251617</v>
      </c>
      <c r="E56" s="157">
        <f t="shared" si="0"/>
        <v>91110</v>
      </c>
      <c r="F56" s="161">
        <f t="shared" si="1"/>
        <v>7.8508789692780828E-2</v>
      </c>
    </row>
    <row r="57" spans="1:6" ht="15" customHeight="1" x14ac:dyDescent="0.25">
      <c r="A57" s="147">
        <v>5</v>
      </c>
      <c r="B57" s="160" t="s">
        <v>192</v>
      </c>
      <c r="C57" s="157">
        <v>318159</v>
      </c>
      <c r="D57" s="157">
        <v>299620</v>
      </c>
      <c r="E57" s="157">
        <f t="shared" si="0"/>
        <v>-18539</v>
      </c>
      <c r="F57" s="161">
        <f t="shared" si="1"/>
        <v>-5.8269607334697431E-2</v>
      </c>
    </row>
    <row r="58" spans="1:6" ht="15" customHeight="1" x14ac:dyDescent="0.25">
      <c r="A58" s="147">
        <v>6</v>
      </c>
      <c r="B58" s="160" t="s">
        <v>193</v>
      </c>
      <c r="C58" s="157">
        <v>34704</v>
      </c>
      <c r="D58" s="157">
        <v>66707</v>
      </c>
      <c r="E58" s="157">
        <f t="shared" si="0"/>
        <v>32003</v>
      </c>
      <c r="F58" s="161">
        <f t="shared" si="1"/>
        <v>0.92217035500230526</v>
      </c>
    </row>
    <row r="59" spans="1:6" ht="15.75" customHeight="1" x14ac:dyDescent="0.3">
      <c r="A59" s="147"/>
      <c r="B59" s="162" t="s">
        <v>194</v>
      </c>
      <c r="C59" s="158">
        <f>SUM(C53:C58)</f>
        <v>2230160</v>
      </c>
      <c r="D59" s="158">
        <f>SUM(D53:D58)</f>
        <v>2169538</v>
      </c>
      <c r="E59" s="158">
        <f t="shared" si="0"/>
        <v>-60622</v>
      </c>
      <c r="F59" s="159">
        <f t="shared" si="1"/>
        <v>-2.7182803027585464E-2</v>
      </c>
    </row>
    <row r="60" spans="1:6" ht="15.75" customHeight="1" x14ac:dyDescent="0.3">
      <c r="A60" s="147"/>
      <c r="B60" s="163"/>
      <c r="C60" s="157"/>
      <c r="D60" s="157"/>
      <c r="E60" s="158"/>
      <c r="F60" s="159"/>
    </row>
    <row r="61" spans="1:6" ht="15.75" customHeight="1" x14ac:dyDescent="0.3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5">
      <c r="A62" s="147">
        <v>1</v>
      </c>
      <c r="B62" s="160" t="s">
        <v>197</v>
      </c>
      <c r="C62" s="157">
        <v>181022</v>
      </c>
      <c r="D62" s="157">
        <v>250631</v>
      </c>
      <c r="E62" s="157">
        <f t="shared" ref="E62:E90" si="2">+D62-C62</f>
        <v>69609</v>
      </c>
      <c r="F62" s="161">
        <f t="shared" ref="F62:F90" si="3">IF(C62=0,0,E62/C62)</f>
        <v>0.384533371634387</v>
      </c>
    </row>
    <row r="63" spans="1:6" ht="15" customHeight="1" x14ac:dyDescent="0.25">
      <c r="A63" s="147">
        <v>2</v>
      </c>
      <c r="B63" s="160" t="s">
        <v>198</v>
      </c>
      <c r="C63" s="157">
        <v>448349</v>
      </c>
      <c r="D63" s="157">
        <v>450139</v>
      </c>
      <c r="E63" s="157">
        <f t="shared" si="2"/>
        <v>1790</v>
      </c>
      <c r="F63" s="161">
        <f t="shared" si="3"/>
        <v>3.9924255434940189E-3</v>
      </c>
    </row>
    <row r="64" spans="1:6" ht="15" customHeight="1" x14ac:dyDescent="0.25">
      <c r="A64" s="147">
        <v>3</v>
      </c>
      <c r="B64" s="160" t="s">
        <v>199</v>
      </c>
      <c r="C64" s="157">
        <v>1437529</v>
      </c>
      <c r="D64" s="157">
        <v>1433196</v>
      </c>
      <c r="E64" s="157">
        <f t="shared" si="2"/>
        <v>-4333</v>
      </c>
      <c r="F64" s="161">
        <f t="shared" si="3"/>
        <v>-3.014200061355284E-3</v>
      </c>
    </row>
    <row r="65" spans="1:6" ht="15" customHeight="1" x14ac:dyDescent="0.25">
      <c r="A65" s="147">
        <v>4</v>
      </c>
      <c r="B65" s="160" t="s">
        <v>200</v>
      </c>
      <c r="C65" s="157">
        <v>263013</v>
      </c>
      <c r="D65" s="157">
        <v>263298</v>
      </c>
      <c r="E65" s="157">
        <f t="shared" si="2"/>
        <v>285</v>
      </c>
      <c r="F65" s="161">
        <f t="shared" si="3"/>
        <v>1.083596628303544E-3</v>
      </c>
    </row>
    <row r="66" spans="1:6" ht="15" customHeight="1" x14ac:dyDescent="0.25">
      <c r="A66" s="147">
        <v>5</v>
      </c>
      <c r="B66" s="160" t="s">
        <v>201</v>
      </c>
      <c r="C66" s="157">
        <v>1101650</v>
      </c>
      <c r="D66" s="157">
        <v>867551</v>
      </c>
      <c r="E66" s="157">
        <f t="shared" si="2"/>
        <v>-234099</v>
      </c>
      <c r="F66" s="161">
        <f t="shared" si="3"/>
        <v>-0.21249852493986293</v>
      </c>
    </row>
    <row r="67" spans="1:6" ht="15" customHeight="1" x14ac:dyDescent="0.25">
      <c r="A67" s="147">
        <v>6</v>
      </c>
      <c r="B67" s="160" t="s">
        <v>202</v>
      </c>
      <c r="C67" s="157">
        <v>651336</v>
      </c>
      <c r="D67" s="157">
        <v>712004</v>
      </c>
      <c r="E67" s="157">
        <f t="shared" si="2"/>
        <v>60668</v>
      </c>
      <c r="F67" s="161">
        <f t="shared" si="3"/>
        <v>9.3143937998206763E-2</v>
      </c>
    </row>
    <row r="68" spans="1:6" ht="15" customHeight="1" x14ac:dyDescent="0.25">
      <c r="A68" s="147">
        <v>7</v>
      </c>
      <c r="B68" s="160" t="s">
        <v>203</v>
      </c>
      <c r="C68" s="157">
        <v>216766</v>
      </c>
      <c r="D68" s="157">
        <v>235126</v>
      </c>
      <c r="E68" s="157">
        <f t="shared" si="2"/>
        <v>18360</v>
      </c>
      <c r="F68" s="161">
        <f t="shared" si="3"/>
        <v>8.4699630015777377E-2</v>
      </c>
    </row>
    <row r="69" spans="1:6" ht="15" customHeight="1" x14ac:dyDescent="0.25">
      <c r="A69" s="147">
        <v>8</v>
      </c>
      <c r="B69" s="160" t="s">
        <v>204</v>
      </c>
      <c r="C69" s="157">
        <v>1144389</v>
      </c>
      <c r="D69" s="157">
        <v>1047153</v>
      </c>
      <c r="E69" s="157">
        <f t="shared" si="2"/>
        <v>-97236</v>
      </c>
      <c r="F69" s="161">
        <f t="shared" si="3"/>
        <v>-8.4967611537685173E-2</v>
      </c>
    </row>
    <row r="70" spans="1:6" ht="15" customHeight="1" x14ac:dyDescent="0.25">
      <c r="A70" s="147">
        <v>9</v>
      </c>
      <c r="B70" s="160" t="s">
        <v>205</v>
      </c>
      <c r="C70" s="157">
        <v>243935</v>
      </c>
      <c r="D70" s="157">
        <v>242534</v>
      </c>
      <c r="E70" s="157">
        <f t="shared" si="2"/>
        <v>-1401</v>
      </c>
      <c r="F70" s="161">
        <f t="shared" si="3"/>
        <v>-5.7433332650091212E-3</v>
      </c>
    </row>
    <row r="71" spans="1:6" ht="15" customHeight="1" x14ac:dyDescent="0.25">
      <c r="A71" s="147">
        <v>10</v>
      </c>
      <c r="B71" s="160" t="s">
        <v>206</v>
      </c>
      <c r="C71" s="157">
        <v>120</v>
      </c>
      <c r="D71" s="157">
        <v>930</v>
      </c>
      <c r="E71" s="157">
        <f t="shared" si="2"/>
        <v>810</v>
      </c>
      <c r="F71" s="161">
        <f t="shared" si="3"/>
        <v>6.75</v>
      </c>
    </row>
    <row r="72" spans="1:6" ht="15" customHeight="1" x14ac:dyDescent="0.25">
      <c r="A72" s="147">
        <v>11</v>
      </c>
      <c r="B72" s="160" t="s">
        <v>207</v>
      </c>
      <c r="C72" s="157">
        <v>178925</v>
      </c>
      <c r="D72" s="157">
        <v>141118</v>
      </c>
      <c r="E72" s="157">
        <f t="shared" si="2"/>
        <v>-37807</v>
      </c>
      <c r="F72" s="161">
        <f t="shared" si="3"/>
        <v>-0.21130082436775185</v>
      </c>
    </row>
    <row r="73" spans="1:6" ht="15" customHeight="1" x14ac:dyDescent="0.25">
      <c r="A73" s="147">
        <v>12</v>
      </c>
      <c r="B73" s="160" t="s">
        <v>208</v>
      </c>
      <c r="C73" s="157">
        <v>566649</v>
      </c>
      <c r="D73" s="157">
        <v>604653</v>
      </c>
      <c r="E73" s="157">
        <f t="shared" si="2"/>
        <v>38004</v>
      </c>
      <c r="F73" s="161">
        <f t="shared" si="3"/>
        <v>6.7067973295638045E-2</v>
      </c>
    </row>
    <row r="74" spans="1:6" ht="15" customHeight="1" x14ac:dyDescent="0.25">
      <c r="A74" s="147">
        <v>13</v>
      </c>
      <c r="B74" s="160" t="s">
        <v>209</v>
      </c>
      <c r="C74" s="157">
        <v>33816</v>
      </c>
      <c r="D74" s="157">
        <v>63560</v>
      </c>
      <c r="E74" s="157">
        <f t="shared" si="2"/>
        <v>29744</v>
      </c>
      <c r="F74" s="161">
        <f t="shared" si="3"/>
        <v>0.87958362905133669</v>
      </c>
    </row>
    <row r="75" spans="1:6" ht="15" customHeight="1" x14ac:dyDescent="0.25">
      <c r="A75" s="147">
        <v>14</v>
      </c>
      <c r="B75" s="160" t="s">
        <v>210</v>
      </c>
      <c r="C75" s="157">
        <v>138258</v>
      </c>
      <c r="D75" s="157">
        <v>138613</v>
      </c>
      <c r="E75" s="157">
        <f t="shared" si="2"/>
        <v>355</v>
      </c>
      <c r="F75" s="161">
        <f t="shared" si="3"/>
        <v>2.5676633540192974E-3</v>
      </c>
    </row>
    <row r="76" spans="1:6" ht="15" customHeight="1" x14ac:dyDescent="0.25">
      <c r="A76" s="147">
        <v>15</v>
      </c>
      <c r="B76" s="160" t="s">
        <v>211</v>
      </c>
      <c r="C76" s="157">
        <v>1066810</v>
      </c>
      <c r="D76" s="157">
        <v>1396577</v>
      </c>
      <c r="E76" s="157">
        <f t="shared" si="2"/>
        <v>329767</v>
      </c>
      <c r="F76" s="161">
        <f t="shared" si="3"/>
        <v>0.30911502516849299</v>
      </c>
    </row>
    <row r="77" spans="1:6" ht="15" customHeight="1" x14ac:dyDescent="0.25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5">
      <c r="A78" s="147">
        <v>17</v>
      </c>
      <c r="B78" s="160" t="s">
        <v>213</v>
      </c>
      <c r="C78" s="157">
        <v>2153086</v>
      </c>
      <c r="D78" s="157">
        <v>2511470</v>
      </c>
      <c r="E78" s="157">
        <f t="shared" si="2"/>
        <v>358384</v>
      </c>
      <c r="F78" s="161">
        <f t="shared" si="3"/>
        <v>0.16645131685404113</v>
      </c>
    </row>
    <row r="79" spans="1:6" ht="15" customHeight="1" x14ac:dyDescent="0.25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5">
      <c r="A80" s="147">
        <v>19</v>
      </c>
      <c r="B80" s="160" t="s">
        <v>215</v>
      </c>
      <c r="C80" s="157">
        <v>846894</v>
      </c>
      <c r="D80" s="157">
        <v>804282</v>
      </c>
      <c r="E80" s="157">
        <f t="shared" si="2"/>
        <v>-42612</v>
      </c>
      <c r="F80" s="161">
        <f t="shared" si="3"/>
        <v>-5.0315623915153491E-2</v>
      </c>
    </row>
    <row r="81" spans="1:6" ht="15" customHeight="1" x14ac:dyDescent="0.25">
      <c r="A81" s="147">
        <v>20</v>
      </c>
      <c r="B81" s="160" t="s">
        <v>216</v>
      </c>
      <c r="C81" s="157">
        <v>1308264</v>
      </c>
      <c r="D81" s="157">
        <v>1062537</v>
      </c>
      <c r="E81" s="157">
        <f t="shared" si="2"/>
        <v>-245727</v>
      </c>
      <c r="F81" s="161">
        <f t="shared" si="3"/>
        <v>-0.18782676890902752</v>
      </c>
    </row>
    <row r="82" spans="1:6" ht="15" customHeight="1" x14ac:dyDescent="0.25">
      <c r="A82" s="147">
        <v>21</v>
      </c>
      <c r="B82" s="160" t="s">
        <v>217</v>
      </c>
      <c r="C82" s="157">
        <v>1528024</v>
      </c>
      <c r="D82" s="157">
        <v>1390870</v>
      </c>
      <c r="E82" s="157">
        <f t="shared" si="2"/>
        <v>-137154</v>
      </c>
      <c r="F82" s="161">
        <f t="shared" si="3"/>
        <v>-8.975906137599933E-2</v>
      </c>
    </row>
    <row r="83" spans="1:6" ht="15" customHeight="1" x14ac:dyDescent="0.25">
      <c r="A83" s="147">
        <v>22</v>
      </c>
      <c r="B83" s="160" t="s">
        <v>218</v>
      </c>
      <c r="C83" s="157">
        <v>153922</v>
      </c>
      <c r="D83" s="157">
        <v>282428</v>
      </c>
      <c r="E83" s="157">
        <f t="shared" si="2"/>
        <v>128506</v>
      </c>
      <c r="F83" s="161">
        <f t="shared" si="3"/>
        <v>0.83487740543911848</v>
      </c>
    </row>
    <row r="84" spans="1:6" ht="15" customHeight="1" x14ac:dyDescent="0.25">
      <c r="A84" s="147">
        <v>23</v>
      </c>
      <c r="B84" s="160" t="s">
        <v>219</v>
      </c>
      <c r="C84" s="157">
        <v>66072</v>
      </c>
      <c r="D84" s="157">
        <v>17833</v>
      </c>
      <c r="E84" s="157">
        <f t="shared" si="2"/>
        <v>-48239</v>
      </c>
      <c r="F84" s="161">
        <f t="shared" si="3"/>
        <v>-0.73009746942729148</v>
      </c>
    </row>
    <row r="85" spans="1:6" ht="15" customHeight="1" x14ac:dyDescent="0.25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5">
      <c r="A86" s="147">
        <v>25</v>
      </c>
      <c r="B86" s="160" t="s">
        <v>221</v>
      </c>
      <c r="C86" s="157">
        <v>196015</v>
      </c>
      <c r="D86" s="157">
        <v>188854</v>
      </c>
      <c r="E86" s="157">
        <f t="shared" si="2"/>
        <v>-7161</v>
      </c>
      <c r="F86" s="161">
        <f t="shared" si="3"/>
        <v>-3.653291839910211E-2</v>
      </c>
    </row>
    <row r="87" spans="1:6" ht="15" customHeight="1" x14ac:dyDescent="0.25">
      <c r="A87" s="147">
        <v>26</v>
      </c>
      <c r="B87" s="160" t="s">
        <v>222</v>
      </c>
      <c r="C87" s="157">
        <v>511355</v>
      </c>
      <c r="D87" s="157">
        <v>515709</v>
      </c>
      <c r="E87" s="157">
        <f t="shared" si="2"/>
        <v>4354</v>
      </c>
      <c r="F87" s="161">
        <f t="shared" si="3"/>
        <v>8.5146326915743458E-3</v>
      </c>
    </row>
    <row r="88" spans="1:6" ht="15" customHeight="1" x14ac:dyDescent="0.25">
      <c r="A88" s="147">
        <v>27</v>
      </c>
      <c r="B88" s="160" t="s">
        <v>223</v>
      </c>
      <c r="C88" s="157">
        <v>291080</v>
      </c>
      <c r="D88" s="157">
        <v>368182</v>
      </c>
      <c r="E88" s="157">
        <f t="shared" si="2"/>
        <v>77102</v>
      </c>
      <c r="F88" s="161">
        <f t="shared" si="3"/>
        <v>0.26488250652741513</v>
      </c>
    </row>
    <row r="89" spans="1:6" ht="15" customHeight="1" x14ac:dyDescent="0.25">
      <c r="A89" s="147">
        <v>28</v>
      </c>
      <c r="B89" s="160" t="s">
        <v>224</v>
      </c>
      <c r="C89" s="157">
        <v>5801033</v>
      </c>
      <c r="D89" s="157">
        <v>6227539</v>
      </c>
      <c r="E89" s="157">
        <f t="shared" si="2"/>
        <v>426506</v>
      </c>
      <c r="F89" s="161">
        <f t="shared" si="3"/>
        <v>7.3522422644380747E-2</v>
      </c>
    </row>
    <row r="90" spans="1:6" ht="15.75" customHeight="1" x14ac:dyDescent="0.3">
      <c r="A90" s="147"/>
      <c r="B90" s="162" t="s">
        <v>225</v>
      </c>
      <c r="C90" s="158">
        <f>SUM(C62:C89)</f>
        <v>20528312</v>
      </c>
      <c r="D90" s="158">
        <f>SUM(D62:D89)</f>
        <v>21216787</v>
      </c>
      <c r="E90" s="158">
        <f t="shared" si="2"/>
        <v>688475</v>
      </c>
      <c r="F90" s="159">
        <f t="shared" si="3"/>
        <v>3.3537828146805254E-2</v>
      </c>
    </row>
    <row r="91" spans="1:6" ht="15.75" customHeight="1" x14ac:dyDescent="0.3">
      <c r="A91" s="147"/>
      <c r="B91" s="163"/>
      <c r="C91" s="157"/>
      <c r="D91" s="157"/>
      <c r="E91" s="158"/>
      <c r="F91" s="159"/>
    </row>
    <row r="92" spans="1:6" ht="15.75" customHeight="1" x14ac:dyDescent="0.3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5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3">
      <c r="A94" s="147"/>
      <c r="B94" s="163"/>
      <c r="C94" s="157"/>
      <c r="D94" s="157"/>
      <c r="E94" s="158"/>
      <c r="F94" s="159"/>
    </row>
    <row r="95" spans="1:6" ht="15.75" customHeight="1" x14ac:dyDescent="0.3">
      <c r="A95" s="164"/>
      <c r="B95" s="165" t="s">
        <v>229</v>
      </c>
      <c r="C95" s="158">
        <f>+C93+C90+C59+C50+C47+C44+C41+C35+C30+C24+C18</f>
        <v>136633273</v>
      </c>
      <c r="D95" s="158">
        <f>+D93+D90+D59+D50+D47+D44+D41+D35+D30+D24+D18</f>
        <v>140143704</v>
      </c>
      <c r="E95" s="158">
        <f>+D95-C95</f>
        <v>3510431</v>
      </c>
      <c r="F95" s="159">
        <f>IF(C95=0,0,E95/C95)</f>
        <v>2.5692358258884714E-2</v>
      </c>
    </row>
    <row r="96" spans="1:6" ht="15.75" customHeight="1" x14ac:dyDescent="0.3">
      <c r="A96" s="164"/>
      <c r="B96" s="165"/>
      <c r="C96" s="157"/>
      <c r="D96" s="157"/>
      <c r="E96" s="157"/>
      <c r="F96" s="166"/>
    </row>
    <row r="97" spans="1:6" ht="15.75" customHeight="1" x14ac:dyDescent="0.3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3">
      <c r="A98" s="164"/>
      <c r="B98" s="167"/>
      <c r="C98" s="157"/>
      <c r="D98" s="157"/>
      <c r="E98" s="157"/>
      <c r="F98" s="166"/>
    </row>
    <row r="99" spans="1:6" ht="15.75" customHeight="1" x14ac:dyDescent="0.3">
      <c r="A99" s="164"/>
      <c r="B99" s="167"/>
      <c r="C99" s="157"/>
      <c r="D99" s="157"/>
      <c r="E99" s="157"/>
      <c r="F99" s="166"/>
    </row>
    <row r="100" spans="1:6" ht="15.75" customHeight="1" x14ac:dyDescent="0.3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3">
      <c r="A101" s="147"/>
      <c r="B101" s="148"/>
      <c r="C101" s="149"/>
      <c r="D101" s="149"/>
      <c r="E101" s="150"/>
      <c r="F101" s="151"/>
    </row>
    <row r="102" spans="1:6" ht="15.75" customHeight="1" x14ac:dyDescent="0.3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5">
      <c r="A103" s="147">
        <v>1</v>
      </c>
      <c r="B103" s="169" t="s">
        <v>233</v>
      </c>
      <c r="C103" s="157">
        <v>2958293</v>
      </c>
      <c r="D103" s="157">
        <v>2407441</v>
      </c>
      <c r="E103" s="157">
        <f t="shared" ref="E103:E121" si="4">D103-C103</f>
        <v>-550852</v>
      </c>
      <c r="F103" s="161">
        <f t="shared" ref="F103:F121" si="5">IF(C103=0,0,E103/C103)</f>
        <v>-0.18620603165406538</v>
      </c>
    </row>
    <row r="104" spans="1:6" ht="15" customHeight="1" x14ac:dyDescent="0.25">
      <c r="A104" s="147">
        <v>2</v>
      </c>
      <c r="B104" s="169" t="s">
        <v>234</v>
      </c>
      <c r="C104" s="157">
        <v>1589542</v>
      </c>
      <c r="D104" s="157">
        <v>1571438</v>
      </c>
      <c r="E104" s="157">
        <f t="shared" si="4"/>
        <v>-18104</v>
      </c>
      <c r="F104" s="161">
        <f t="shared" si="5"/>
        <v>-1.1389444255011821E-2</v>
      </c>
    </row>
    <row r="105" spans="1:6" ht="15" customHeight="1" x14ac:dyDescent="0.25">
      <c r="A105" s="147">
        <v>3</v>
      </c>
      <c r="B105" s="169" t="s">
        <v>235</v>
      </c>
      <c r="C105" s="157">
        <v>2181069</v>
      </c>
      <c r="D105" s="157">
        <v>2045037</v>
      </c>
      <c r="E105" s="157">
        <f t="shared" si="4"/>
        <v>-136032</v>
      </c>
      <c r="F105" s="161">
        <f t="shared" si="5"/>
        <v>-6.2369416098252736E-2</v>
      </c>
    </row>
    <row r="106" spans="1:6" ht="15" customHeight="1" x14ac:dyDescent="0.25">
      <c r="A106" s="147">
        <v>4</v>
      </c>
      <c r="B106" s="169" t="s">
        <v>236</v>
      </c>
      <c r="C106" s="157">
        <v>838695</v>
      </c>
      <c r="D106" s="157">
        <v>867196</v>
      </c>
      <c r="E106" s="157">
        <f t="shared" si="4"/>
        <v>28501</v>
      </c>
      <c r="F106" s="161">
        <f t="shared" si="5"/>
        <v>3.398255623319562E-2</v>
      </c>
    </row>
    <row r="107" spans="1:6" ht="15" customHeight="1" x14ac:dyDescent="0.25">
      <c r="A107" s="147">
        <v>5</v>
      </c>
      <c r="B107" s="169" t="s">
        <v>237</v>
      </c>
      <c r="C107" s="157">
        <v>4292024</v>
      </c>
      <c r="D107" s="157">
        <v>4709726</v>
      </c>
      <c r="E107" s="157">
        <f t="shared" si="4"/>
        <v>417702</v>
      </c>
      <c r="F107" s="161">
        <f t="shared" si="5"/>
        <v>9.732051824500515E-2</v>
      </c>
    </row>
    <row r="108" spans="1:6" ht="15" customHeight="1" x14ac:dyDescent="0.25">
      <c r="A108" s="147">
        <v>6</v>
      </c>
      <c r="B108" s="169" t="s">
        <v>238</v>
      </c>
      <c r="C108" s="157">
        <v>238501</v>
      </c>
      <c r="D108" s="157">
        <v>263048</v>
      </c>
      <c r="E108" s="157">
        <f t="shared" si="4"/>
        <v>24547</v>
      </c>
      <c r="F108" s="161">
        <f t="shared" si="5"/>
        <v>0.10292200032704266</v>
      </c>
    </row>
    <row r="109" spans="1:6" ht="15" customHeight="1" x14ac:dyDescent="0.25">
      <c r="A109" s="147">
        <v>7</v>
      </c>
      <c r="B109" s="169" t="s">
        <v>239</v>
      </c>
      <c r="C109" s="157">
        <v>872051</v>
      </c>
      <c r="D109" s="157">
        <v>1036553</v>
      </c>
      <c r="E109" s="157">
        <f t="shared" si="4"/>
        <v>164502</v>
      </c>
      <c r="F109" s="161">
        <f t="shared" si="5"/>
        <v>0.18863804983882823</v>
      </c>
    </row>
    <row r="110" spans="1:6" ht="15" customHeight="1" x14ac:dyDescent="0.25">
      <c r="A110" s="147">
        <v>8</v>
      </c>
      <c r="B110" s="169" t="s">
        <v>240</v>
      </c>
      <c r="C110" s="157">
        <v>1412198</v>
      </c>
      <c r="D110" s="157">
        <v>1628988</v>
      </c>
      <c r="E110" s="157">
        <f t="shared" si="4"/>
        <v>216790</v>
      </c>
      <c r="F110" s="161">
        <f t="shared" si="5"/>
        <v>0.15351246779842487</v>
      </c>
    </row>
    <row r="111" spans="1:6" ht="15" customHeight="1" x14ac:dyDescent="0.25">
      <c r="A111" s="147">
        <v>9</v>
      </c>
      <c r="B111" s="169" t="s">
        <v>241</v>
      </c>
      <c r="C111" s="157">
        <v>683796</v>
      </c>
      <c r="D111" s="157">
        <v>806384</v>
      </c>
      <c r="E111" s="157">
        <f t="shared" si="4"/>
        <v>122588</v>
      </c>
      <c r="F111" s="161">
        <f t="shared" si="5"/>
        <v>0.1792756904105903</v>
      </c>
    </row>
    <row r="112" spans="1:6" ht="15" customHeight="1" x14ac:dyDescent="0.25">
      <c r="A112" s="147">
        <v>10</v>
      </c>
      <c r="B112" s="169" t="s">
        <v>242</v>
      </c>
      <c r="C112" s="157">
        <v>1700373</v>
      </c>
      <c r="D112" s="157">
        <v>1604438</v>
      </c>
      <c r="E112" s="157">
        <f t="shared" si="4"/>
        <v>-95935</v>
      </c>
      <c r="F112" s="161">
        <f t="shared" si="5"/>
        <v>-5.6419973735174579E-2</v>
      </c>
    </row>
    <row r="113" spans="1:6" ht="15" customHeight="1" x14ac:dyDescent="0.25">
      <c r="A113" s="147">
        <v>11</v>
      </c>
      <c r="B113" s="169" t="s">
        <v>243</v>
      </c>
      <c r="C113" s="157">
        <v>1726328</v>
      </c>
      <c r="D113" s="157">
        <v>1635309</v>
      </c>
      <c r="E113" s="157">
        <f t="shared" si="4"/>
        <v>-91019</v>
      </c>
      <c r="F113" s="161">
        <f t="shared" si="5"/>
        <v>-5.2724047805515525E-2</v>
      </c>
    </row>
    <row r="114" spans="1:6" ht="15" customHeight="1" x14ac:dyDescent="0.25">
      <c r="A114" s="147">
        <v>12</v>
      </c>
      <c r="B114" s="169" t="s">
        <v>244</v>
      </c>
      <c r="C114" s="157">
        <v>554918</v>
      </c>
      <c r="D114" s="157">
        <v>422431</v>
      </c>
      <c r="E114" s="157">
        <f t="shared" si="4"/>
        <v>-132487</v>
      </c>
      <c r="F114" s="161">
        <f t="shared" si="5"/>
        <v>-0.23875059017728745</v>
      </c>
    </row>
    <row r="115" spans="1:6" ht="15" customHeight="1" x14ac:dyDescent="0.25">
      <c r="A115" s="147">
        <v>13</v>
      </c>
      <c r="B115" s="169" t="s">
        <v>245</v>
      </c>
      <c r="C115" s="157">
        <v>32574</v>
      </c>
      <c r="D115" s="157">
        <v>9552</v>
      </c>
      <c r="E115" s="157">
        <f t="shared" si="4"/>
        <v>-23022</v>
      </c>
      <c r="F115" s="161">
        <f t="shared" si="5"/>
        <v>-0.70675999263216061</v>
      </c>
    </row>
    <row r="116" spans="1:6" ht="15" customHeight="1" x14ac:dyDescent="0.25">
      <c r="A116" s="147">
        <v>14</v>
      </c>
      <c r="B116" s="169" t="s">
        <v>246</v>
      </c>
      <c r="C116" s="157">
        <v>371418</v>
      </c>
      <c r="D116" s="157">
        <v>349240</v>
      </c>
      <c r="E116" s="157">
        <f t="shared" si="4"/>
        <v>-22178</v>
      </c>
      <c r="F116" s="161">
        <f t="shared" si="5"/>
        <v>-5.9711699486831547E-2</v>
      </c>
    </row>
    <row r="117" spans="1:6" ht="15" customHeight="1" x14ac:dyDescent="0.25">
      <c r="A117" s="147">
        <v>15</v>
      </c>
      <c r="B117" s="169" t="s">
        <v>203</v>
      </c>
      <c r="C117" s="157">
        <v>4669718</v>
      </c>
      <c r="D117" s="157">
        <v>4181364</v>
      </c>
      <c r="E117" s="157">
        <f t="shared" si="4"/>
        <v>-488354</v>
      </c>
      <c r="F117" s="161">
        <f t="shared" si="5"/>
        <v>-0.10457890604957301</v>
      </c>
    </row>
    <row r="118" spans="1:6" ht="15" customHeight="1" x14ac:dyDescent="0.25">
      <c r="A118" s="147">
        <v>16</v>
      </c>
      <c r="B118" s="169" t="s">
        <v>247</v>
      </c>
      <c r="C118" s="157">
        <v>565567</v>
      </c>
      <c r="D118" s="157">
        <v>692535</v>
      </c>
      <c r="E118" s="157">
        <f t="shared" si="4"/>
        <v>126968</v>
      </c>
      <c r="F118" s="161">
        <f t="shared" si="5"/>
        <v>0.22449683238237025</v>
      </c>
    </row>
    <row r="119" spans="1:6" ht="15" customHeight="1" x14ac:dyDescent="0.25">
      <c r="A119" s="147">
        <v>17</v>
      </c>
      <c r="B119" s="169" t="s">
        <v>248</v>
      </c>
      <c r="C119" s="157">
        <v>10545777</v>
      </c>
      <c r="D119" s="157">
        <v>10351205</v>
      </c>
      <c r="E119" s="157">
        <f t="shared" si="4"/>
        <v>-194572</v>
      </c>
      <c r="F119" s="161">
        <f t="shared" si="5"/>
        <v>-1.8450228939982327E-2</v>
      </c>
    </row>
    <row r="120" spans="1:6" ht="15" customHeight="1" x14ac:dyDescent="0.25">
      <c r="A120" s="147">
        <v>18</v>
      </c>
      <c r="B120" s="169" t="s">
        <v>249</v>
      </c>
      <c r="C120" s="157">
        <v>1512452</v>
      </c>
      <c r="D120" s="157">
        <v>1609154</v>
      </c>
      <c r="E120" s="157">
        <f t="shared" si="4"/>
        <v>96702</v>
      </c>
      <c r="F120" s="161">
        <f t="shared" si="5"/>
        <v>6.3937235694091446E-2</v>
      </c>
    </row>
    <row r="121" spans="1:6" ht="15.75" customHeight="1" x14ac:dyDescent="0.3">
      <c r="A121" s="147"/>
      <c r="B121" s="165" t="s">
        <v>250</v>
      </c>
      <c r="C121" s="158">
        <f>SUM(C103:C120)</f>
        <v>36745294</v>
      </c>
      <c r="D121" s="158">
        <f>SUM(D103:D120)</f>
        <v>36191039</v>
      </c>
      <c r="E121" s="158">
        <f t="shared" si="4"/>
        <v>-554255</v>
      </c>
      <c r="F121" s="159">
        <f t="shared" si="5"/>
        <v>-1.5083700241995615E-2</v>
      </c>
    </row>
    <row r="122" spans="1:6" ht="15.75" customHeight="1" x14ac:dyDescent="0.3">
      <c r="A122" s="147"/>
      <c r="B122" s="170"/>
      <c r="C122" s="157"/>
      <c r="D122" s="157"/>
      <c r="E122" s="158"/>
      <c r="F122" s="151"/>
    </row>
    <row r="123" spans="1:6" ht="15.75" customHeight="1" x14ac:dyDescent="0.3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5">
      <c r="A124" s="147">
        <v>1</v>
      </c>
      <c r="B124" s="169" t="s">
        <v>252</v>
      </c>
      <c r="C124" s="157">
        <v>2438304</v>
      </c>
      <c r="D124" s="157">
        <v>2357790</v>
      </c>
      <c r="E124" s="157">
        <f t="shared" ref="E124:E130" si="6">D124-C124</f>
        <v>-80514</v>
      </c>
      <c r="F124" s="161">
        <f t="shared" ref="F124:F130" si="7">IF(C124=0,0,E124/C124)</f>
        <v>-3.3020492932792626E-2</v>
      </c>
    </row>
    <row r="125" spans="1:6" ht="15" customHeight="1" x14ac:dyDescent="0.25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5">
      <c r="A126" s="147">
        <v>3</v>
      </c>
      <c r="B126" s="169" t="s">
        <v>254</v>
      </c>
      <c r="C126" s="157">
        <v>1399230</v>
      </c>
      <c r="D126" s="157">
        <v>1238609</v>
      </c>
      <c r="E126" s="157">
        <f t="shared" si="6"/>
        <v>-160621</v>
      </c>
      <c r="F126" s="161">
        <f t="shared" si="7"/>
        <v>-0.11479242154613609</v>
      </c>
    </row>
    <row r="127" spans="1:6" ht="15" customHeight="1" x14ac:dyDescent="0.25">
      <c r="A127" s="147">
        <v>4</v>
      </c>
      <c r="B127" s="169" t="s">
        <v>255</v>
      </c>
      <c r="C127" s="157">
        <v>1472657</v>
      </c>
      <c r="D127" s="157">
        <v>863902</v>
      </c>
      <c r="E127" s="157">
        <f t="shared" si="6"/>
        <v>-608755</v>
      </c>
      <c r="F127" s="161">
        <f t="shared" si="7"/>
        <v>-0.4133718849671037</v>
      </c>
    </row>
    <row r="128" spans="1:6" ht="15" customHeight="1" x14ac:dyDescent="0.25">
      <c r="A128" s="147">
        <v>5</v>
      </c>
      <c r="B128" s="169" t="s">
        <v>256</v>
      </c>
      <c r="C128" s="157">
        <v>1263664</v>
      </c>
      <c r="D128" s="157">
        <v>1302853</v>
      </c>
      <c r="E128" s="157">
        <f t="shared" si="6"/>
        <v>39189</v>
      </c>
      <c r="F128" s="161">
        <f t="shared" si="7"/>
        <v>3.10121994454222E-2</v>
      </c>
    </row>
    <row r="129" spans="1:6" ht="15" customHeight="1" x14ac:dyDescent="0.25">
      <c r="A129" s="147">
        <v>6</v>
      </c>
      <c r="B129" s="169" t="s">
        <v>257</v>
      </c>
      <c r="C129" s="157">
        <v>224713</v>
      </c>
      <c r="D129" s="157">
        <v>222890</v>
      </c>
      <c r="E129" s="157">
        <f t="shared" si="6"/>
        <v>-1823</v>
      </c>
      <c r="F129" s="161">
        <f t="shared" si="7"/>
        <v>-8.1125702562824583E-3</v>
      </c>
    </row>
    <row r="130" spans="1:6" ht="15.75" customHeight="1" x14ac:dyDescent="0.3">
      <c r="A130" s="147"/>
      <c r="B130" s="165" t="s">
        <v>258</v>
      </c>
      <c r="C130" s="158">
        <f>SUM(C124:C129)</f>
        <v>6798568</v>
      </c>
      <c r="D130" s="158">
        <f>SUM(D124:D129)</f>
        <v>5986044</v>
      </c>
      <c r="E130" s="158">
        <f t="shared" si="6"/>
        <v>-812524</v>
      </c>
      <c r="F130" s="159">
        <f t="shared" si="7"/>
        <v>-0.11951399177003157</v>
      </c>
    </row>
    <row r="131" spans="1:6" ht="15.75" customHeight="1" x14ac:dyDescent="0.3">
      <c r="A131" s="147"/>
      <c r="B131" s="170"/>
      <c r="C131" s="157"/>
      <c r="D131" s="157"/>
      <c r="E131" s="158"/>
      <c r="F131" s="151"/>
    </row>
    <row r="132" spans="1:6" ht="15.75" customHeight="1" x14ac:dyDescent="0.3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5">
      <c r="A133" s="147">
        <v>1</v>
      </c>
      <c r="B133" s="169" t="s">
        <v>260</v>
      </c>
      <c r="C133" s="157">
        <v>7862945</v>
      </c>
      <c r="D133" s="157">
        <v>9244620</v>
      </c>
      <c r="E133" s="157">
        <f t="shared" ref="E133:E167" si="8">D133-C133</f>
        <v>1381675</v>
      </c>
      <c r="F133" s="161">
        <f t="shared" ref="F133:F167" si="9">IF(C133=0,0,E133/C133)</f>
        <v>0.17571978438104299</v>
      </c>
    </row>
    <row r="134" spans="1:6" ht="15" customHeight="1" x14ac:dyDescent="0.25">
      <c r="A134" s="147">
        <v>2</v>
      </c>
      <c r="B134" s="169" t="s">
        <v>261</v>
      </c>
      <c r="C134" s="157">
        <v>0</v>
      </c>
      <c r="D134" s="157">
        <v>0</v>
      </c>
      <c r="E134" s="157">
        <f t="shared" si="8"/>
        <v>0</v>
      </c>
      <c r="F134" s="161">
        <f t="shared" si="9"/>
        <v>0</v>
      </c>
    </row>
    <row r="135" spans="1:6" ht="15" customHeight="1" x14ac:dyDescent="0.25">
      <c r="A135" s="147">
        <v>3</v>
      </c>
      <c r="B135" s="169" t="s">
        <v>262</v>
      </c>
      <c r="C135" s="157">
        <v>504501</v>
      </c>
      <c r="D135" s="157">
        <v>566980</v>
      </c>
      <c r="E135" s="157">
        <f t="shared" si="8"/>
        <v>62479</v>
      </c>
      <c r="F135" s="161">
        <f t="shared" si="9"/>
        <v>0.12384316383912024</v>
      </c>
    </row>
    <row r="136" spans="1:6" ht="15" customHeight="1" x14ac:dyDescent="0.25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5">
      <c r="A137" s="147">
        <v>5</v>
      </c>
      <c r="B137" s="169" t="s">
        <v>264</v>
      </c>
      <c r="C137" s="157">
        <v>2324075</v>
      </c>
      <c r="D137" s="157">
        <v>2347953</v>
      </c>
      <c r="E137" s="157">
        <f t="shared" si="8"/>
        <v>23878</v>
      </c>
      <c r="F137" s="161">
        <f t="shared" si="9"/>
        <v>1.0274195109882426E-2</v>
      </c>
    </row>
    <row r="138" spans="1:6" ht="15" customHeight="1" x14ac:dyDescent="0.25">
      <c r="A138" s="147">
        <v>6</v>
      </c>
      <c r="B138" s="169" t="s">
        <v>265</v>
      </c>
      <c r="C138" s="157">
        <v>508248</v>
      </c>
      <c r="D138" s="157">
        <v>559488</v>
      </c>
      <c r="E138" s="157">
        <f t="shared" si="8"/>
        <v>51240</v>
      </c>
      <c r="F138" s="161">
        <f t="shared" si="9"/>
        <v>0.10081692402134391</v>
      </c>
    </row>
    <row r="139" spans="1:6" ht="15" customHeight="1" x14ac:dyDescent="0.25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5">
      <c r="A140" s="147">
        <v>8</v>
      </c>
      <c r="B140" s="169" t="s">
        <v>267</v>
      </c>
      <c r="C140" s="157">
        <v>543912</v>
      </c>
      <c r="D140" s="157">
        <v>509152</v>
      </c>
      <c r="E140" s="157">
        <f t="shared" si="8"/>
        <v>-34760</v>
      </c>
      <c r="F140" s="161">
        <f t="shared" si="9"/>
        <v>-6.3907396784774001E-2</v>
      </c>
    </row>
    <row r="141" spans="1:6" ht="15" customHeight="1" x14ac:dyDescent="0.25">
      <c r="A141" s="147">
        <v>9</v>
      </c>
      <c r="B141" s="169" t="s">
        <v>268</v>
      </c>
      <c r="C141" s="157">
        <v>898579</v>
      </c>
      <c r="D141" s="157">
        <v>939904</v>
      </c>
      <c r="E141" s="157">
        <f t="shared" si="8"/>
        <v>41325</v>
      </c>
      <c r="F141" s="161">
        <f t="shared" si="9"/>
        <v>4.5989278627699956E-2</v>
      </c>
    </row>
    <row r="142" spans="1:6" ht="15" customHeight="1" x14ac:dyDescent="0.25">
      <c r="A142" s="147">
        <v>10</v>
      </c>
      <c r="B142" s="169" t="s">
        <v>269</v>
      </c>
      <c r="C142" s="157">
        <v>6593532</v>
      </c>
      <c r="D142" s="157">
        <v>6552150</v>
      </c>
      <c r="E142" s="157">
        <f t="shared" si="8"/>
        <v>-41382</v>
      </c>
      <c r="F142" s="161">
        <f t="shared" si="9"/>
        <v>-6.2761506276150627E-3</v>
      </c>
    </row>
    <row r="143" spans="1:6" ht="15" customHeight="1" x14ac:dyDescent="0.25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5">
      <c r="A144" s="147">
        <v>12</v>
      </c>
      <c r="B144" s="169" t="s">
        <v>271</v>
      </c>
      <c r="C144" s="157">
        <v>936875</v>
      </c>
      <c r="D144" s="157">
        <v>1648286</v>
      </c>
      <c r="E144" s="157">
        <f t="shared" si="8"/>
        <v>711411</v>
      </c>
      <c r="F144" s="161">
        <f t="shared" si="9"/>
        <v>0.75934462975316874</v>
      </c>
    </row>
    <row r="145" spans="1:6" ht="15" customHeight="1" x14ac:dyDescent="0.25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5">
      <c r="A146" s="147">
        <v>14</v>
      </c>
      <c r="B146" s="169" t="s">
        <v>273</v>
      </c>
      <c r="C146" s="157">
        <v>46046</v>
      </c>
      <c r="D146" s="157">
        <v>30932</v>
      </c>
      <c r="E146" s="157">
        <f t="shared" si="8"/>
        <v>-15114</v>
      </c>
      <c r="F146" s="161">
        <f t="shared" si="9"/>
        <v>-0.32823698041089344</v>
      </c>
    </row>
    <row r="147" spans="1:6" ht="15" customHeight="1" x14ac:dyDescent="0.25">
      <c r="A147" s="147">
        <v>15</v>
      </c>
      <c r="B147" s="169" t="s">
        <v>274</v>
      </c>
      <c r="C147" s="157">
        <v>317098</v>
      </c>
      <c r="D147" s="157">
        <v>306450</v>
      </c>
      <c r="E147" s="157">
        <f t="shared" si="8"/>
        <v>-10648</v>
      </c>
      <c r="F147" s="161">
        <f t="shared" si="9"/>
        <v>-3.3579524311096252E-2</v>
      </c>
    </row>
    <row r="148" spans="1:6" ht="15" customHeight="1" x14ac:dyDescent="0.25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5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5">
      <c r="A150" s="147">
        <v>18</v>
      </c>
      <c r="B150" s="169" t="s">
        <v>277</v>
      </c>
      <c r="C150" s="157">
        <v>906365</v>
      </c>
      <c r="D150" s="157">
        <v>914069</v>
      </c>
      <c r="E150" s="157">
        <f t="shared" si="8"/>
        <v>7704</v>
      </c>
      <c r="F150" s="161">
        <f t="shared" si="9"/>
        <v>8.4998869109023413E-3</v>
      </c>
    </row>
    <row r="151" spans="1:6" ht="15" customHeight="1" x14ac:dyDescent="0.25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5">
      <c r="A152" s="147">
        <v>20</v>
      </c>
      <c r="B152" s="169" t="s">
        <v>279</v>
      </c>
      <c r="C152" s="157">
        <v>197355</v>
      </c>
      <c r="D152" s="157">
        <v>193094</v>
      </c>
      <c r="E152" s="157">
        <f t="shared" si="8"/>
        <v>-4261</v>
      </c>
      <c r="F152" s="161">
        <f t="shared" si="9"/>
        <v>-2.1590534823034632E-2</v>
      </c>
    </row>
    <row r="153" spans="1:6" ht="15" customHeight="1" x14ac:dyDescent="0.25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5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5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5">
      <c r="A156" s="147">
        <v>24</v>
      </c>
      <c r="B156" s="169" t="s">
        <v>283</v>
      </c>
      <c r="C156" s="157">
        <v>5041099</v>
      </c>
      <c r="D156" s="157">
        <v>5068844</v>
      </c>
      <c r="E156" s="157">
        <f t="shared" si="8"/>
        <v>27745</v>
      </c>
      <c r="F156" s="161">
        <f t="shared" si="9"/>
        <v>5.5037601919740121E-3</v>
      </c>
    </row>
    <row r="157" spans="1:6" ht="15" customHeight="1" x14ac:dyDescent="0.25">
      <c r="A157" s="147">
        <v>25</v>
      </c>
      <c r="B157" s="169" t="s">
        <v>284</v>
      </c>
      <c r="C157" s="157">
        <v>406932</v>
      </c>
      <c r="D157" s="157">
        <v>455340</v>
      </c>
      <c r="E157" s="157">
        <f t="shared" si="8"/>
        <v>48408</v>
      </c>
      <c r="F157" s="161">
        <f t="shared" si="9"/>
        <v>0.11895845006045236</v>
      </c>
    </row>
    <row r="158" spans="1:6" ht="15" customHeight="1" x14ac:dyDescent="0.25">
      <c r="A158" s="147">
        <v>26</v>
      </c>
      <c r="B158" s="169" t="s">
        <v>285</v>
      </c>
      <c r="C158" s="157">
        <v>216006</v>
      </c>
      <c r="D158" s="157">
        <v>224336</v>
      </c>
      <c r="E158" s="157">
        <f t="shared" si="8"/>
        <v>8330</v>
      </c>
      <c r="F158" s="161">
        <f t="shared" si="9"/>
        <v>3.8563743599714824E-2</v>
      </c>
    </row>
    <row r="159" spans="1:6" ht="15" customHeight="1" x14ac:dyDescent="0.25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5">
      <c r="A160" s="147">
        <v>28</v>
      </c>
      <c r="B160" s="169" t="s">
        <v>287</v>
      </c>
      <c r="C160" s="157">
        <v>1062370</v>
      </c>
      <c r="D160" s="157">
        <v>949124</v>
      </c>
      <c r="E160" s="157">
        <f t="shared" si="8"/>
        <v>-113246</v>
      </c>
      <c r="F160" s="161">
        <f t="shared" si="9"/>
        <v>-0.10659751310748609</v>
      </c>
    </row>
    <row r="161" spans="1:6" ht="15" customHeight="1" x14ac:dyDescent="0.25">
      <c r="A161" s="147">
        <v>29</v>
      </c>
      <c r="B161" s="169" t="s">
        <v>288</v>
      </c>
      <c r="C161" s="157">
        <v>348922</v>
      </c>
      <c r="D161" s="157">
        <v>250090</v>
      </c>
      <c r="E161" s="157">
        <f t="shared" si="8"/>
        <v>-98832</v>
      </c>
      <c r="F161" s="161">
        <f t="shared" si="9"/>
        <v>-0.28324955147568798</v>
      </c>
    </row>
    <row r="162" spans="1:6" ht="15" customHeight="1" x14ac:dyDescent="0.25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5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5">
      <c r="A164" s="147">
        <v>32</v>
      </c>
      <c r="B164" s="169" t="s">
        <v>291</v>
      </c>
      <c r="C164" s="157">
        <v>1785139</v>
      </c>
      <c r="D164" s="157">
        <v>1921341</v>
      </c>
      <c r="E164" s="157">
        <f t="shared" si="8"/>
        <v>136202</v>
      </c>
      <c r="F164" s="161">
        <f t="shared" si="9"/>
        <v>7.6297700067053609E-2</v>
      </c>
    </row>
    <row r="165" spans="1:6" ht="15" customHeight="1" x14ac:dyDescent="0.25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5">
      <c r="A166" s="147">
        <v>34</v>
      </c>
      <c r="B166" s="169" t="s">
        <v>293</v>
      </c>
      <c r="C166" s="157">
        <v>3776570</v>
      </c>
      <c r="D166" s="157">
        <v>3067795</v>
      </c>
      <c r="E166" s="157">
        <f t="shared" si="8"/>
        <v>-708775</v>
      </c>
      <c r="F166" s="161">
        <f t="shared" si="9"/>
        <v>-0.18767691317783067</v>
      </c>
    </row>
    <row r="167" spans="1:6" ht="15.75" customHeight="1" x14ac:dyDescent="0.3">
      <c r="A167" s="147"/>
      <c r="B167" s="165" t="s">
        <v>294</v>
      </c>
      <c r="C167" s="158">
        <f>SUM(C133:C166)</f>
        <v>34276569</v>
      </c>
      <c r="D167" s="158">
        <f>SUM(D133:D166)</f>
        <v>35749948</v>
      </c>
      <c r="E167" s="158">
        <f t="shared" si="8"/>
        <v>1473379</v>
      </c>
      <c r="F167" s="159">
        <f t="shared" si="9"/>
        <v>4.2985019883407818E-2</v>
      </c>
    </row>
    <row r="168" spans="1:6" ht="15.75" customHeight="1" x14ac:dyDescent="0.3">
      <c r="A168" s="147"/>
      <c r="B168" s="170"/>
      <c r="C168" s="157"/>
      <c r="D168" s="157"/>
      <c r="E168" s="158"/>
      <c r="F168" s="151"/>
    </row>
    <row r="169" spans="1:6" ht="15.75" customHeight="1" x14ac:dyDescent="0.3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5">
      <c r="A170" s="147">
        <v>1</v>
      </c>
      <c r="B170" s="169" t="s">
        <v>296</v>
      </c>
      <c r="C170" s="157">
        <v>7714244</v>
      </c>
      <c r="D170" s="157">
        <v>7387875</v>
      </c>
      <c r="E170" s="157">
        <f t="shared" ref="E170:E183" si="10">D170-C170</f>
        <v>-326369</v>
      </c>
      <c r="F170" s="161">
        <f t="shared" ref="F170:F183" si="11">IF(C170=0,0,E170/C170)</f>
        <v>-4.2307321365515529E-2</v>
      </c>
    </row>
    <row r="171" spans="1:6" ht="15" customHeight="1" x14ac:dyDescent="0.25">
      <c r="A171" s="147">
        <v>2</v>
      </c>
      <c r="B171" s="169" t="s">
        <v>297</v>
      </c>
      <c r="C171" s="157">
        <v>2889117</v>
      </c>
      <c r="D171" s="157">
        <v>3120397</v>
      </c>
      <c r="E171" s="157">
        <f t="shared" si="10"/>
        <v>231280</v>
      </c>
      <c r="F171" s="161">
        <f t="shared" si="11"/>
        <v>8.0052140498290653E-2</v>
      </c>
    </row>
    <row r="172" spans="1:6" ht="15" customHeight="1" x14ac:dyDescent="0.25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5">
      <c r="A173" s="147">
        <v>4</v>
      </c>
      <c r="B173" s="169" t="s">
        <v>299</v>
      </c>
      <c r="C173" s="157">
        <v>2392478</v>
      </c>
      <c r="D173" s="157">
        <v>2322587</v>
      </c>
      <c r="E173" s="157">
        <f t="shared" si="10"/>
        <v>-69891</v>
      </c>
      <c r="F173" s="161">
        <f t="shared" si="11"/>
        <v>-2.9212807808473056E-2</v>
      </c>
    </row>
    <row r="174" spans="1:6" ht="15" customHeight="1" x14ac:dyDescent="0.25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5">
      <c r="A175" s="147">
        <v>6</v>
      </c>
      <c r="B175" s="169" t="s">
        <v>301</v>
      </c>
      <c r="C175" s="157">
        <v>2612530</v>
      </c>
      <c r="D175" s="157">
        <v>2668292</v>
      </c>
      <c r="E175" s="157">
        <f t="shared" si="10"/>
        <v>55762</v>
      </c>
      <c r="F175" s="161">
        <f t="shared" si="11"/>
        <v>2.1344061120829233E-2</v>
      </c>
    </row>
    <row r="176" spans="1:6" ht="15" customHeight="1" x14ac:dyDescent="0.25">
      <c r="A176" s="147">
        <v>7</v>
      </c>
      <c r="B176" s="169" t="s">
        <v>302</v>
      </c>
      <c r="C176" s="157">
        <v>14188</v>
      </c>
      <c r="D176" s="157">
        <v>12950</v>
      </c>
      <c r="E176" s="157">
        <f t="shared" si="10"/>
        <v>-1238</v>
      </c>
      <c r="F176" s="161">
        <f t="shared" si="11"/>
        <v>-8.7256836763462076E-2</v>
      </c>
    </row>
    <row r="177" spans="1:6" ht="15" customHeight="1" x14ac:dyDescent="0.25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5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5">
      <c r="A179" s="147">
        <v>10</v>
      </c>
      <c r="B179" s="169" t="s">
        <v>305</v>
      </c>
      <c r="C179" s="157">
        <v>1011122</v>
      </c>
      <c r="D179" s="157">
        <v>1036118</v>
      </c>
      <c r="E179" s="157">
        <f t="shared" si="10"/>
        <v>24996</v>
      </c>
      <c r="F179" s="161">
        <f t="shared" si="11"/>
        <v>2.4721052454599938E-2</v>
      </c>
    </row>
    <row r="180" spans="1:6" ht="15" customHeight="1" x14ac:dyDescent="0.25">
      <c r="A180" s="147">
        <v>11</v>
      </c>
      <c r="B180" s="169" t="s">
        <v>306</v>
      </c>
      <c r="C180" s="157">
        <v>4274898</v>
      </c>
      <c r="D180" s="157">
        <v>4153876</v>
      </c>
      <c r="E180" s="157">
        <f t="shared" si="10"/>
        <v>-121022</v>
      </c>
      <c r="F180" s="161">
        <f t="shared" si="11"/>
        <v>-2.8309915230725975E-2</v>
      </c>
    </row>
    <row r="181" spans="1:6" ht="15" customHeight="1" x14ac:dyDescent="0.25">
      <c r="A181" s="147">
        <v>12</v>
      </c>
      <c r="B181" s="169" t="s">
        <v>307</v>
      </c>
      <c r="C181" s="157">
        <v>4936368</v>
      </c>
      <c r="D181" s="157">
        <v>5749264</v>
      </c>
      <c r="E181" s="157">
        <f t="shared" si="10"/>
        <v>812896</v>
      </c>
      <c r="F181" s="161">
        <f t="shared" si="11"/>
        <v>0.16467491888773284</v>
      </c>
    </row>
    <row r="182" spans="1:6" ht="15" customHeight="1" x14ac:dyDescent="0.25">
      <c r="A182" s="147">
        <v>13</v>
      </c>
      <c r="B182" s="169" t="s">
        <v>308</v>
      </c>
      <c r="C182" s="157">
        <v>287126</v>
      </c>
      <c r="D182" s="157">
        <v>278965</v>
      </c>
      <c r="E182" s="157">
        <f t="shared" si="10"/>
        <v>-8161</v>
      </c>
      <c r="F182" s="161">
        <f t="shared" si="11"/>
        <v>-2.8423061652375611E-2</v>
      </c>
    </row>
    <row r="183" spans="1:6" ht="15.75" customHeight="1" x14ac:dyDescent="0.3">
      <c r="A183" s="147"/>
      <c r="B183" s="165" t="s">
        <v>309</v>
      </c>
      <c r="C183" s="158">
        <f>SUM(C170:C182)</f>
        <v>26132071</v>
      </c>
      <c r="D183" s="158">
        <f>SUM(D170:D182)</f>
        <v>26730324</v>
      </c>
      <c r="E183" s="158">
        <f t="shared" si="10"/>
        <v>598253</v>
      </c>
      <c r="F183" s="159">
        <f t="shared" si="11"/>
        <v>2.2893440018588652E-2</v>
      </c>
    </row>
    <row r="184" spans="1:6" ht="15.75" customHeight="1" x14ac:dyDescent="0.3">
      <c r="A184" s="147"/>
      <c r="B184" s="170"/>
      <c r="C184" s="157"/>
      <c r="D184" s="157"/>
      <c r="E184" s="158"/>
      <c r="F184" s="151"/>
    </row>
    <row r="185" spans="1:6" ht="15.75" customHeight="1" x14ac:dyDescent="0.3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5">
      <c r="A186" s="147">
        <v>1</v>
      </c>
      <c r="B186" s="169" t="s">
        <v>311</v>
      </c>
      <c r="C186" s="157">
        <v>32680771</v>
      </c>
      <c r="D186" s="157">
        <v>35486349</v>
      </c>
      <c r="E186" s="157">
        <f>D186-C186</f>
        <v>2805578</v>
      </c>
      <c r="F186" s="161">
        <f>IF(C186=0,0,E186/C186)</f>
        <v>8.5847974639276417E-2</v>
      </c>
    </row>
    <row r="187" spans="1:6" ht="15.75" customHeight="1" x14ac:dyDescent="0.3">
      <c r="A187" s="147"/>
      <c r="B187" s="170"/>
      <c r="C187" s="157"/>
      <c r="D187" s="157"/>
      <c r="E187" s="158"/>
      <c r="F187" s="151"/>
    </row>
    <row r="188" spans="1:6" ht="15.75" customHeight="1" x14ac:dyDescent="0.3">
      <c r="A188" s="164"/>
      <c r="B188" s="165" t="s">
        <v>312</v>
      </c>
      <c r="C188" s="158">
        <f>+C186+C183+C167+C130+C121</f>
        <v>136633273</v>
      </c>
      <c r="D188" s="158">
        <f>+D186+D183+D167+D130+D121</f>
        <v>140143704</v>
      </c>
      <c r="E188" s="158">
        <f>D188-C188</f>
        <v>3510431</v>
      </c>
      <c r="F188" s="159">
        <f>IF(C188=0,0,E188/C188)</f>
        <v>2.5692358258884714E-2</v>
      </c>
    </row>
    <row r="189" spans="1:6" ht="15.75" customHeight="1" x14ac:dyDescent="0.3">
      <c r="A189" s="164"/>
      <c r="B189" s="170"/>
      <c r="C189" s="157"/>
      <c r="D189" s="157"/>
      <c r="E189" s="158"/>
      <c r="F189" s="159"/>
    </row>
    <row r="190" spans="1:6" ht="15.75" customHeight="1" x14ac:dyDescent="0.3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5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scale="74" fitToHeight="0" orientation="portrait" r:id="rId1"/>
  <headerFooter>
    <oddHeader>&amp;LOFFICE OF HEALTH CARE ACCESS&amp;CTWELVE MONTHS ACTUAL FILING&amp;RBRISTOL HOSPITAL</oddHeader>
    <oddFooter>&amp;LREPORT 165&amp;C&amp;P of &amp;N&amp;R&amp;D,&amp;T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abSelected="1" topLeftCell="A130" zoomScale="75" zoomScaleSheetLayoutView="75" workbookViewId="0">
      <selection activeCell="C201" sqref="C201"/>
    </sheetView>
  </sheetViews>
  <sheetFormatPr defaultColWidth="9.109375" defaultRowHeight="24" customHeight="1" x14ac:dyDescent="0.25"/>
  <cols>
    <col min="1" max="1" width="8.6640625" style="70" customWidth="1"/>
    <col min="2" max="2" width="60.88671875" style="70" customWidth="1"/>
    <col min="3" max="3" width="21.88671875" style="70" customWidth="1"/>
    <col min="4" max="5" width="21.88671875" style="222" customWidth="1"/>
    <col min="6" max="16384" width="9.109375" style="70"/>
  </cols>
  <sheetData>
    <row r="1" spans="1:6" ht="24" customHeight="1" x14ac:dyDescent="0.3">
      <c r="A1" s="173"/>
      <c r="B1" s="174" t="s">
        <v>0</v>
      </c>
      <c r="C1" s="174"/>
      <c r="D1" s="174"/>
      <c r="E1" s="175"/>
      <c r="F1" s="176"/>
    </row>
    <row r="2" spans="1:6" ht="24" customHeight="1" x14ac:dyDescent="0.3">
      <c r="A2" s="177"/>
      <c r="B2" s="174" t="s">
        <v>1</v>
      </c>
      <c r="C2" s="174"/>
      <c r="D2" s="174"/>
      <c r="E2" s="175"/>
      <c r="F2" s="176"/>
    </row>
    <row r="3" spans="1:6" ht="24" customHeight="1" x14ac:dyDescent="0.3">
      <c r="A3" s="177"/>
      <c r="B3" s="174" t="s">
        <v>314</v>
      </c>
      <c r="C3" s="174"/>
      <c r="D3" s="174"/>
      <c r="E3" s="175"/>
      <c r="F3" s="176"/>
    </row>
    <row r="4" spans="1:6" ht="24" customHeight="1" x14ac:dyDescent="0.3">
      <c r="A4" s="177"/>
      <c r="B4" s="174" t="s">
        <v>315</v>
      </c>
      <c r="C4" s="175"/>
      <c r="D4" s="175"/>
      <c r="E4" s="175"/>
      <c r="F4" s="176"/>
    </row>
    <row r="5" spans="1:6" ht="24" customHeight="1" x14ac:dyDescent="0.3">
      <c r="A5" s="177"/>
      <c r="B5" s="174"/>
      <c r="C5" s="174"/>
      <c r="D5" s="174"/>
      <c r="E5" s="175"/>
      <c r="F5" s="176"/>
    </row>
    <row r="6" spans="1:6" ht="24" customHeight="1" x14ac:dyDescent="0.3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3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3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3">
      <c r="A9" s="181"/>
      <c r="B9" s="182"/>
      <c r="C9" s="181"/>
      <c r="D9" s="181"/>
      <c r="E9" s="181"/>
      <c r="F9" s="181"/>
    </row>
    <row r="10" spans="1:6" ht="24" customHeight="1" x14ac:dyDescent="0.3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3">
      <c r="A11" s="85">
        <v>1</v>
      </c>
      <c r="B11" s="75" t="s">
        <v>75</v>
      </c>
      <c r="C11" s="76">
        <v>137976406</v>
      </c>
      <c r="D11" s="183">
        <v>133327930</v>
      </c>
      <c r="E11" s="76">
        <v>133544821</v>
      </c>
      <c r="F11" s="181"/>
    </row>
    <row r="12" spans="1:6" ht="24" customHeight="1" x14ac:dyDescent="0.3">
      <c r="A12" s="85">
        <v>2</v>
      </c>
      <c r="B12" s="184" t="s">
        <v>320</v>
      </c>
      <c r="C12" s="185">
        <v>4301391</v>
      </c>
      <c r="D12" s="185">
        <v>3838007</v>
      </c>
      <c r="E12" s="185">
        <v>3643010</v>
      </c>
      <c r="F12" s="181"/>
    </row>
    <row r="13" spans="1:6" ht="24" customHeight="1" x14ac:dyDescent="0.3">
      <c r="A13" s="85">
        <v>3</v>
      </c>
      <c r="B13" s="75" t="s">
        <v>80</v>
      </c>
      <c r="C13" s="76">
        <f>+C11+C12</f>
        <v>142277797</v>
      </c>
      <c r="D13" s="76">
        <f>+D11+D12</f>
        <v>137165937</v>
      </c>
      <c r="E13" s="76">
        <f>+E11+E12</f>
        <v>137187831</v>
      </c>
      <c r="F13" s="181"/>
    </row>
    <row r="14" spans="1:6" ht="24" customHeight="1" x14ac:dyDescent="0.3">
      <c r="A14" s="85">
        <v>4</v>
      </c>
      <c r="B14" s="186" t="s">
        <v>91</v>
      </c>
      <c r="C14" s="185">
        <v>141228949</v>
      </c>
      <c r="D14" s="185">
        <v>136633273</v>
      </c>
      <c r="E14" s="185">
        <v>140143704</v>
      </c>
      <c r="F14" s="181"/>
    </row>
    <row r="15" spans="1:6" ht="24" customHeight="1" x14ac:dyDescent="0.3">
      <c r="A15" s="85">
        <v>5</v>
      </c>
      <c r="B15" s="75" t="s">
        <v>92</v>
      </c>
      <c r="C15" s="76">
        <f>+C13-C14</f>
        <v>1048848</v>
      </c>
      <c r="D15" s="76">
        <f>+D13-D14</f>
        <v>532664</v>
      </c>
      <c r="E15" s="76">
        <f>+E13-E14</f>
        <v>-2955873</v>
      </c>
      <c r="F15" s="181"/>
    </row>
    <row r="16" spans="1:6" ht="24" customHeight="1" x14ac:dyDescent="0.3">
      <c r="A16" s="85">
        <v>6</v>
      </c>
      <c r="B16" s="186" t="s">
        <v>97</v>
      </c>
      <c r="C16" s="185">
        <v>1263862</v>
      </c>
      <c r="D16" s="185">
        <v>795166</v>
      </c>
      <c r="E16" s="185">
        <v>1070208</v>
      </c>
      <c r="F16" s="181"/>
    </row>
    <row r="17" spans="1:6" ht="24" customHeight="1" x14ac:dyDescent="0.3">
      <c r="A17" s="85">
        <v>7</v>
      </c>
      <c r="B17" s="82" t="s">
        <v>321</v>
      </c>
      <c r="C17" s="76">
        <f>C15+C16</f>
        <v>2312710</v>
      </c>
      <c r="D17" s="76">
        <f>D15+D16</f>
        <v>1327830</v>
      </c>
      <c r="E17" s="76">
        <f>E15+E16</f>
        <v>-1885665</v>
      </c>
      <c r="F17" s="181"/>
    </row>
    <row r="18" spans="1:6" ht="24" customHeight="1" x14ac:dyDescent="0.3">
      <c r="A18" s="85"/>
      <c r="B18" s="72"/>
      <c r="C18" s="187"/>
      <c r="D18" s="187"/>
      <c r="E18" s="188"/>
      <c r="F18" s="181"/>
    </row>
    <row r="19" spans="1:6" ht="24" customHeight="1" x14ac:dyDescent="0.3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3">
      <c r="A20" s="74">
        <v>1</v>
      </c>
      <c r="B20" s="75" t="s">
        <v>323</v>
      </c>
      <c r="C20" s="189">
        <f>IF(+C27=0,0,+C24/+C27)</f>
        <v>7.3069240477428229E-3</v>
      </c>
      <c r="D20" s="189">
        <f>IF(+D27=0,0,+D24/+D27)</f>
        <v>3.8609723205822732E-3</v>
      </c>
      <c r="E20" s="189">
        <f>IF(+E27=0,0,+E24/+E27)</f>
        <v>-2.1379393353033165E-2</v>
      </c>
      <c r="F20" s="181"/>
    </row>
    <row r="21" spans="1:6" ht="24" customHeight="1" x14ac:dyDescent="0.3">
      <c r="A21" s="74">
        <v>2</v>
      </c>
      <c r="B21" s="75" t="s">
        <v>324</v>
      </c>
      <c r="C21" s="189">
        <f>IF(C27=0,0,+C26/C27)</f>
        <v>8.8048445921890869E-3</v>
      </c>
      <c r="D21" s="189">
        <f>IF(D27=0,0,+D26/D27)</f>
        <v>5.7636970327788698E-3</v>
      </c>
      <c r="E21" s="189">
        <f>IF(E27=0,0,+E26/E27)</f>
        <v>7.7406565848948576E-3</v>
      </c>
      <c r="F21" s="181"/>
    </row>
    <row r="22" spans="1:6" ht="24" customHeight="1" x14ac:dyDescent="0.3">
      <c r="A22" s="74">
        <v>3</v>
      </c>
      <c r="B22" s="75" t="s">
        <v>325</v>
      </c>
      <c r="C22" s="189">
        <f>IF(C27=0,0,+C28/C27)</f>
        <v>1.6111768639931912E-2</v>
      </c>
      <c r="D22" s="189">
        <f>IF(D27=0,0,+D28/D27)</f>
        <v>9.6246693533611431E-3</v>
      </c>
      <c r="E22" s="189">
        <f>IF(E27=0,0,+E28/E27)</f>
        <v>-1.3638736768138307E-2</v>
      </c>
      <c r="F22" s="181"/>
    </row>
    <row r="23" spans="1:6" ht="24" customHeight="1" x14ac:dyDescent="0.3">
      <c r="A23" s="173"/>
      <c r="B23" s="75"/>
      <c r="C23" s="189"/>
      <c r="D23" s="189"/>
      <c r="E23" s="189"/>
      <c r="F23" s="181"/>
    </row>
    <row r="24" spans="1:6" ht="24" customHeight="1" x14ac:dyDescent="0.3">
      <c r="A24" s="173">
        <v>4</v>
      </c>
      <c r="B24" s="75" t="s">
        <v>92</v>
      </c>
      <c r="C24" s="76">
        <f>+C15</f>
        <v>1048848</v>
      </c>
      <c r="D24" s="76">
        <f>+D15</f>
        <v>532664</v>
      </c>
      <c r="E24" s="76">
        <f>+E15</f>
        <v>-2955873</v>
      </c>
      <c r="F24" s="181"/>
    </row>
    <row r="25" spans="1:6" ht="24" customHeight="1" x14ac:dyDescent="0.3">
      <c r="A25" s="173">
        <v>5</v>
      </c>
      <c r="B25" s="75" t="s">
        <v>80</v>
      </c>
      <c r="C25" s="76">
        <f>+C13</f>
        <v>142277797</v>
      </c>
      <c r="D25" s="76">
        <f>+D13</f>
        <v>137165937</v>
      </c>
      <c r="E25" s="76">
        <f>+E13</f>
        <v>137187831</v>
      </c>
      <c r="F25" s="181"/>
    </row>
    <row r="26" spans="1:6" ht="24" customHeight="1" x14ac:dyDescent="0.3">
      <c r="A26" s="173">
        <v>6</v>
      </c>
      <c r="B26" s="75" t="s">
        <v>97</v>
      </c>
      <c r="C26" s="76">
        <f>+C16</f>
        <v>1263862</v>
      </c>
      <c r="D26" s="76">
        <f>+D16</f>
        <v>795166</v>
      </c>
      <c r="E26" s="76">
        <f>+E16</f>
        <v>1070208</v>
      </c>
      <c r="F26" s="181"/>
    </row>
    <row r="27" spans="1:6" ht="24" customHeight="1" x14ac:dyDescent="0.3">
      <c r="A27" s="173">
        <v>7</v>
      </c>
      <c r="B27" s="75" t="s">
        <v>326</v>
      </c>
      <c r="C27" s="76">
        <f>+C25+C26</f>
        <v>143541659</v>
      </c>
      <c r="D27" s="76">
        <f>+D25+D26</f>
        <v>137961103</v>
      </c>
      <c r="E27" s="76">
        <f>+E25+E26</f>
        <v>138258039</v>
      </c>
      <c r="F27" s="181"/>
    </row>
    <row r="28" spans="1:6" ht="24" customHeight="1" x14ac:dyDescent="0.3">
      <c r="A28" s="173">
        <v>8</v>
      </c>
      <c r="B28" s="82" t="s">
        <v>321</v>
      </c>
      <c r="C28" s="76">
        <f>+C17</f>
        <v>2312710</v>
      </c>
      <c r="D28" s="76">
        <f>+D17</f>
        <v>1327830</v>
      </c>
      <c r="E28" s="76">
        <f>+E17</f>
        <v>-1885665</v>
      </c>
      <c r="F28" s="181"/>
    </row>
    <row r="29" spans="1:6" ht="24" customHeight="1" x14ac:dyDescent="0.3">
      <c r="A29" s="190"/>
      <c r="B29" s="75"/>
      <c r="C29" s="76"/>
      <c r="D29" s="76"/>
      <c r="E29" s="76"/>
      <c r="F29" s="181"/>
    </row>
    <row r="30" spans="1:6" ht="24" customHeight="1" x14ac:dyDescent="0.3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3">
      <c r="A31" s="74">
        <v>1</v>
      </c>
      <c r="B31" s="192" t="s">
        <v>328</v>
      </c>
      <c r="C31" s="76">
        <v>17633376</v>
      </c>
      <c r="D31" s="76">
        <v>11995043</v>
      </c>
      <c r="E31" s="76">
        <v>6457317</v>
      </c>
      <c r="F31" s="181"/>
    </row>
    <row r="32" spans="1:6" ht="24" customHeight="1" x14ac:dyDescent="0.3">
      <c r="A32" s="74">
        <v>2</v>
      </c>
      <c r="B32" s="75" t="s">
        <v>329</v>
      </c>
      <c r="C32" s="76">
        <v>28426955</v>
      </c>
      <c r="D32" s="76">
        <v>21907472</v>
      </c>
      <c r="E32" s="76">
        <v>16498881</v>
      </c>
      <c r="F32" s="181"/>
    </row>
    <row r="33" spans="1:6" ht="24" customHeight="1" x14ac:dyDescent="0.25">
      <c r="A33" s="74">
        <v>3</v>
      </c>
      <c r="B33" s="75" t="s">
        <v>330</v>
      </c>
      <c r="C33" s="76">
        <v>1954684</v>
      </c>
      <c r="D33" s="76">
        <f>+D32-C32</f>
        <v>-6519483</v>
      </c>
      <c r="E33" s="76">
        <f>+E32-D32</f>
        <v>-5408591</v>
      </c>
      <c r="F33" s="176"/>
    </row>
    <row r="34" spans="1:6" ht="24" customHeight="1" x14ac:dyDescent="0.25">
      <c r="A34" s="74">
        <v>4</v>
      </c>
      <c r="B34" s="75" t="s">
        <v>331</v>
      </c>
      <c r="C34" s="193">
        <v>1.0738000000000001</v>
      </c>
      <c r="D34" s="193">
        <f>IF(C32=0,0,+D33/C32)</f>
        <v>-0.22934158794003789</v>
      </c>
      <c r="E34" s="193">
        <f>IF(D32=0,0,+E33/D32)</f>
        <v>-0.24688339211388699</v>
      </c>
      <c r="F34" s="176"/>
    </row>
    <row r="35" spans="1:6" ht="24" customHeight="1" x14ac:dyDescent="0.3">
      <c r="A35" s="190"/>
      <c r="B35" s="194"/>
      <c r="C35" s="79"/>
      <c r="D35" s="79"/>
      <c r="E35" s="88"/>
      <c r="F35" s="176"/>
    </row>
    <row r="36" spans="1:6" ht="24" customHeight="1" x14ac:dyDescent="0.3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3">
      <c r="A37" s="83"/>
      <c r="B37" s="191"/>
      <c r="C37" s="175"/>
      <c r="D37" s="175"/>
      <c r="E37" s="175"/>
      <c r="F37" s="176"/>
    </row>
    <row r="38" spans="1:6" ht="24" customHeight="1" x14ac:dyDescent="0.3">
      <c r="A38" s="71">
        <v>1</v>
      </c>
      <c r="B38" s="72" t="s">
        <v>333</v>
      </c>
      <c r="C38" s="195">
        <f>IF((C40+C41)=0,0,+C39/(C40+C41))</f>
        <v>0.30876901408895968</v>
      </c>
      <c r="D38" s="195">
        <f>IF((D40+D41)=0,0,+D39/(D40+D41))</f>
        <v>0.30502130301644376</v>
      </c>
      <c r="E38" s="195">
        <f>IF((E40+E41)=0,0,+E39/(E40+E41))</f>
        <v>0.29626624906025845</v>
      </c>
      <c r="F38" s="176"/>
    </row>
    <row r="39" spans="1:6" ht="24" customHeight="1" x14ac:dyDescent="0.25">
      <c r="A39" s="173">
        <v>2</v>
      </c>
      <c r="B39" s="75" t="s">
        <v>334</v>
      </c>
      <c r="C39" s="76">
        <v>141228949</v>
      </c>
      <c r="D39" s="76">
        <v>136633273</v>
      </c>
      <c r="E39" s="196">
        <v>140143704</v>
      </c>
      <c r="F39" s="176"/>
    </row>
    <row r="40" spans="1:6" ht="24" customHeight="1" x14ac:dyDescent="0.25">
      <c r="A40" s="173">
        <v>3</v>
      </c>
      <c r="B40" s="75" t="s">
        <v>335</v>
      </c>
      <c r="C40" s="76">
        <v>453092138</v>
      </c>
      <c r="D40" s="76">
        <v>444108650</v>
      </c>
      <c r="E40" s="196">
        <v>469389961</v>
      </c>
      <c r="F40" s="176"/>
    </row>
    <row r="41" spans="1:6" ht="24" customHeight="1" x14ac:dyDescent="0.25">
      <c r="A41" s="173">
        <v>4</v>
      </c>
      <c r="B41" s="75" t="s">
        <v>336</v>
      </c>
      <c r="C41" s="76">
        <v>4301391</v>
      </c>
      <c r="D41" s="76">
        <v>3838007</v>
      </c>
      <c r="E41" s="196">
        <v>3643010</v>
      </c>
      <c r="F41" s="176"/>
    </row>
    <row r="42" spans="1:6" ht="24" customHeight="1" x14ac:dyDescent="0.3">
      <c r="A42" s="190"/>
      <c r="B42" s="75"/>
      <c r="C42" s="174"/>
      <c r="D42" s="174"/>
      <c r="E42" s="175"/>
      <c r="F42" s="176"/>
    </row>
    <row r="43" spans="1:6" ht="24" customHeight="1" x14ac:dyDescent="0.3">
      <c r="A43" s="71">
        <v>5</v>
      </c>
      <c r="B43" s="72" t="s">
        <v>337</v>
      </c>
      <c r="C43" s="197">
        <f>IF(C38=0,0,IF((C46-C47)=0,0,((+C44-C45)/(C46-C47)/C38)))</f>
        <v>1.410200606032382</v>
      </c>
      <c r="D43" s="197">
        <f>IF(D38=0,0,IF((D46-D47)=0,0,((+D44-D45)/(D46-D47)/D38)))</f>
        <v>1.4584360711179063</v>
      </c>
      <c r="E43" s="197">
        <f>IF(E38=0,0,IF((E46-E47)=0,0,((+E44-E45)/(E46-E47)/E38)))</f>
        <v>1.4466356954770467</v>
      </c>
      <c r="F43" s="176"/>
    </row>
    <row r="44" spans="1:6" ht="24" customHeight="1" x14ac:dyDescent="0.25">
      <c r="A44" s="173">
        <v>6</v>
      </c>
      <c r="B44" s="75" t="s">
        <v>338</v>
      </c>
      <c r="C44" s="76">
        <v>64034225</v>
      </c>
      <c r="D44" s="76">
        <v>59154489</v>
      </c>
      <c r="E44" s="196">
        <v>61942080</v>
      </c>
      <c r="F44" s="176"/>
    </row>
    <row r="45" spans="1:6" ht="24" customHeight="1" x14ac:dyDescent="0.25">
      <c r="A45" s="173">
        <v>7</v>
      </c>
      <c r="B45" s="75" t="s">
        <v>339</v>
      </c>
      <c r="C45" s="76">
        <v>67919</v>
      </c>
      <c r="D45" s="76">
        <v>108324</v>
      </c>
      <c r="E45" s="196">
        <v>142814</v>
      </c>
      <c r="F45" s="176"/>
    </row>
    <row r="46" spans="1:6" ht="24" customHeight="1" x14ac:dyDescent="0.25">
      <c r="A46" s="173">
        <v>8</v>
      </c>
      <c r="B46" s="75" t="s">
        <v>340</v>
      </c>
      <c r="C46" s="76">
        <v>154216460</v>
      </c>
      <c r="D46" s="76">
        <v>139231964</v>
      </c>
      <c r="E46" s="196">
        <v>151245976</v>
      </c>
      <c r="F46" s="176"/>
    </row>
    <row r="47" spans="1:6" ht="24" customHeight="1" x14ac:dyDescent="0.25">
      <c r="A47" s="173">
        <v>9</v>
      </c>
      <c r="B47" s="75" t="s">
        <v>341</v>
      </c>
      <c r="C47" s="76">
        <v>7311431</v>
      </c>
      <c r="D47" s="76">
        <v>6500426</v>
      </c>
      <c r="E47" s="76">
        <v>7053712</v>
      </c>
      <c r="F47" s="176"/>
    </row>
    <row r="48" spans="1:6" ht="24" customHeight="1" x14ac:dyDescent="0.3">
      <c r="A48" s="190"/>
      <c r="B48" s="75"/>
      <c r="C48" s="174"/>
      <c r="D48" s="174"/>
      <c r="E48" s="175"/>
      <c r="F48" s="176"/>
    </row>
    <row r="49" spans="1:6" ht="24" customHeight="1" x14ac:dyDescent="0.3">
      <c r="A49" s="71">
        <v>10</v>
      </c>
      <c r="B49" s="72" t="s">
        <v>342</v>
      </c>
      <c r="C49" s="198">
        <f>IF(C38=0,0,IF(C51=0,0,(C50/C51)/C38))</f>
        <v>0.81118018581483842</v>
      </c>
      <c r="D49" s="198">
        <f>IF(D38=0,0,IF(D51=0,0,(D50/D51)/D38))</f>
        <v>0.83084505654873408</v>
      </c>
      <c r="E49" s="198">
        <f>IF(E38=0,0,IF(E51=0,0,(E50/E51)/E38))</f>
        <v>0.78088556946930821</v>
      </c>
      <c r="F49" s="178"/>
    </row>
    <row r="50" spans="1:6" ht="24" customHeight="1" x14ac:dyDescent="0.3">
      <c r="A50" s="173">
        <v>11</v>
      </c>
      <c r="B50" s="75" t="s">
        <v>343</v>
      </c>
      <c r="C50" s="199">
        <v>51942733</v>
      </c>
      <c r="D50" s="199">
        <v>52094592</v>
      </c>
      <c r="E50" s="199">
        <v>50309344</v>
      </c>
      <c r="F50" s="179"/>
    </row>
    <row r="51" spans="1:6" ht="24" customHeight="1" x14ac:dyDescent="0.3">
      <c r="A51" s="173">
        <v>12</v>
      </c>
      <c r="B51" s="75" t="s">
        <v>344</v>
      </c>
      <c r="C51" s="199">
        <v>207383286</v>
      </c>
      <c r="D51" s="199">
        <v>205561808</v>
      </c>
      <c r="E51" s="199">
        <v>217459847</v>
      </c>
      <c r="F51" s="179"/>
    </row>
    <row r="52" spans="1:6" ht="24" customHeight="1" x14ac:dyDescent="0.3">
      <c r="A52" s="190"/>
      <c r="B52" s="75"/>
      <c r="C52" s="179"/>
      <c r="D52" s="179"/>
      <c r="E52" s="179"/>
      <c r="F52" s="179"/>
    </row>
    <row r="53" spans="1:6" ht="24" customHeight="1" x14ac:dyDescent="0.3">
      <c r="A53" s="71">
        <v>13</v>
      </c>
      <c r="B53" s="72" t="s">
        <v>345</v>
      </c>
      <c r="C53" s="198">
        <f>IF(C38=0,0,IF(C55=0,0,(C54/C55)/C38))</f>
        <v>0.70956727481545456</v>
      </c>
      <c r="D53" s="198">
        <f>IF(D38=0,0,IF(D55=0,0,(D54/D55)/D38))</f>
        <v>0.71854837410353001</v>
      </c>
      <c r="E53" s="198">
        <f>IF(E38=0,0,IF(E55=0,0,(E54/E55)/E38))</f>
        <v>0.75770121629990295</v>
      </c>
      <c r="F53" s="181"/>
    </row>
    <row r="54" spans="1:6" ht="24" customHeight="1" x14ac:dyDescent="0.3">
      <c r="A54" s="173">
        <v>14</v>
      </c>
      <c r="B54" s="75" t="s">
        <v>346</v>
      </c>
      <c r="C54" s="199">
        <v>19708135</v>
      </c>
      <c r="D54" s="199">
        <v>21470152</v>
      </c>
      <c r="E54" s="199">
        <v>22436045</v>
      </c>
      <c r="F54" s="181"/>
    </row>
    <row r="55" spans="1:6" ht="24" customHeight="1" x14ac:dyDescent="0.3">
      <c r="A55" s="173">
        <v>15</v>
      </c>
      <c r="B55" s="75" t="s">
        <v>347</v>
      </c>
      <c r="C55" s="199">
        <v>89953536</v>
      </c>
      <c r="D55" s="199">
        <v>97960036</v>
      </c>
      <c r="E55" s="199">
        <v>99946166</v>
      </c>
      <c r="F55" s="181"/>
    </row>
    <row r="56" spans="1:6" ht="24" customHeight="1" x14ac:dyDescent="0.3">
      <c r="A56" s="190"/>
      <c r="B56" s="200"/>
      <c r="C56" s="181"/>
      <c r="D56" s="181"/>
      <c r="E56" s="181"/>
      <c r="F56" s="181"/>
    </row>
    <row r="57" spans="1:6" ht="24" customHeight="1" x14ac:dyDescent="0.3">
      <c r="A57" s="71">
        <v>16</v>
      </c>
      <c r="B57" s="72" t="s">
        <v>348</v>
      </c>
      <c r="C57" s="88">
        <f>+C60*C38</f>
        <v>2636400.1428154833</v>
      </c>
      <c r="D57" s="88">
        <f>+D60*D38</f>
        <v>1922971.7274173228</v>
      </c>
      <c r="E57" s="88">
        <f>+E60*E38</f>
        <v>1875317.9539515863</v>
      </c>
      <c r="F57" s="181"/>
    </row>
    <row r="58" spans="1:6" ht="24" customHeight="1" x14ac:dyDescent="0.3">
      <c r="A58" s="173">
        <v>17</v>
      </c>
      <c r="B58" s="75" t="s">
        <v>349</v>
      </c>
      <c r="C58" s="199">
        <v>4530623</v>
      </c>
      <c r="D58" s="199">
        <v>4092111</v>
      </c>
      <c r="E58" s="199">
        <v>4120176</v>
      </c>
      <c r="F58" s="181"/>
    </row>
    <row r="59" spans="1:6" ht="24" customHeight="1" x14ac:dyDescent="0.3">
      <c r="A59" s="173">
        <v>18</v>
      </c>
      <c r="B59" s="75" t="s">
        <v>87</v>
      </c>
      <c r="C59" s="199">
        <v>4007799</v>
      </c>
      <c r="D59" s="199">
        <v>2212274</v>
      </c>
      <c r="E59" s="199">
        <v>2209664</v>
      </c>
      <c r="F59" s="181"/>
    </row>
    <row r="60" spans="1:6" ht="24" customHeight="1" x14ac:dyDescent="0.3">
      <c r="A60" s="173">
        <v>19</v>
      </c>
      <c r="B60" s="75" t="s">
        <v>350</v>
      </c>
      <c r="C60" s="76">
        <v>8538422</v>
      </c>
      <c r="D60" s="76">
        <v>6304385</v>
      </c>
      <c r="E60" s="201">
        <v>6329840</v>
      </c>
      <c r="F60" s="80"/>
    </row>
    <row r="61" spans="1:6" ht="24" customHeight="1" x14ac:dyDescent="0.3">
      <c r="A61" s="190"/>
      <c r="B61" s="182"/>
      <c r="C61" s="181"/>
      <c r="D61" s="181"/>
      <c r="E61" s="181"/>
      <c r="F61" s="181"/>
    </row>
    <row r="62" spans="1:6" ht="24" customHeight="1" x14ac:dyDescent="0.3">
      <c r="A62" s="71">
        <v>20</v>
      </c>
      <c r="B62" s="72" t="s">
        <v>351</v>
      </c>
      <c r="C62" s="202">
        <f>IF(C63=0,0,+C57/C63)</f>
        <v>1.866756186662186E-2</v>
      </c>
      <c r="D62" s="202">
        <f>IF(D63=0,0,+D57/D63)</f>
        <v>1.4073963721979513E-2</v>
      </c>
      <c r="E62" s="202">
        <f>IF(E63=0,0,+E57/E63)</f>
        <v>1.338139281627369E-2</v>
      </c>
      <c r="F62" s="181"/>
    </row>
    <row r="63" spans="1:6" ht="24" customHeight="1" x14ac:dyDescent="0.3">
      <c r="A63" s="173">
        <v>21</v>
      </c>
      <c r="B63" s="82" t="s">
        <v>334</v>
      </c>
      <c r="C63" s="199">
        <v>141228949</v>
      </c>
      <c r="D63" s="199">
        <v>136633273</v>
      </c>
      <c r="E63" s="199">
        <v>140143704</v>
      </c>
      <c r="F63" s="181"/>
    </row>
    <row r="64" spans="1:6" ht="24" customHeight="1" x14ac:dyDescent="0.3">
      <c r="A64" s="190"/>
      <c r="B64" s="75"/>
      <c r="C64" s="85"/>
      <c r="D64" s="85"/>
      <c r="E64" s="85"/>
      <c r="F64" s="181"/>
    </row>
    <row r="65" spans="1:6" ht="24" customHeight="1" x14ac:dyDescent="0.3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3">
      <c r="A66" s="71"/>
      <c r="B66" s="191"/>
      <c r="C66" s="79"/>
      <c r="D66" s="79"/>
      <c r="E66" s="88"/>
      <c r="F66" s="80"/>
    </row>
    <row r="67" spans="1:6" ht="24" customHeight="1" x14ac:dyDescent="0.3">
      <c r="A67" s="71">
        <v>1</v>
      </c>
      <c r="B67" s="72" t="s">
        <v>353</v>
      </c>
      <c r="C67" s="203">
        <f>IF(C69=0,0,C68/C69)</f>
        <v>1.3763191045252046</v>
      </c>
      <c r="D67" s="203">
        <f>IF(D69=0,0,D68/D69)</f>
        <v>1.6202761611815757</v>
      </c>
      <c r="E67" s="203">
        <f>IF(E69=0,0,E68/E69)</f>
        <v>1.856991521839122</v>
      </c>
      <c r="F67" s="80"/>
    </row>
    <row r="68" spans="1:6" ht="24" customHeight="1" x14ac:dyDescent="0.3">
      <c r="A68" s="173">
        <v>2</v>
      </c>
      <c r="B68" s="75" t="s">
        <v>25</v>
      </c>
      <c r="C68" s="204">
        <v>37551284</v>
      </c>
      <c r="D68" s="204">
        <v>37320874</v>
      </c>
      <c r="E68" s="204">
        <v>37865656</v>
      </c>
      <c r="F68" s="80"/>
    </row>
    <row r="69" spans="1:6" ht="24" customHeight="1" x14ac:dyDescent="0.3">
      <c r="A69" s="173">
        <v>3</v>
      </c>
      <c r="B69" s="75" t="s">
        <v>54</v>
      </c>
      <c r="C69" s="204">
        <v>27283850</v>
      </c>
      <c r="D69" s="204">
        <v>23033650</v>
      </c>
      <c r="E69" s="204">
        <v>20390861</v>
      </c>
      <c r="F69" s="80"/>
    </row>
    <row r="70" spans="1:6" ht="24" customHeight="1" x14ac:dyDescent="0.3">
      <c r="A70" s="173"/>
      <c r="B70" s="194"/>
      <c r="C70" s="79"/>
      <c r="D70" s="79"/>
      <c r="E70" s="88"/>
      <c r="F70" s="80"/>
    </row>
    <row r="71" spans="1:6" ht="24" customHeight="1" x14ac:dyDescent="0.3">
      <c r="A71" s="71">
        <v>4</v>
      </c>
      <c r="B71" s="72" t="s">
        <v>354</v>
      </c>
      <c r="C71" s="203">
        <f>IF((C77/365)=0,0,+C74/(C77/365))</f>
        <v>37.184210547428705</v>
      </c>
      <c r="D71" s="203">
        <f>IF((D77/365)=0,0,+D74/(D77/365))</f>
        <v>43.098358694070228</v>
      </c>
      <c r="E71" s="203">
        <f>IF((E77/365)=0,0,+E74/(E77/365))</f>
        <v>30.6950468624654</v>
      </c>
      <c r="F71" s="80"/>
    </row>
    <row r="72" spans="1:6" ht="24" customHeight="1" x14ac:dyDescent="0.3">
      <c r="A72" s="173">
        <v>5</v>
      </c>
      <c r="B72" s="192" t="s">
        <v>16</v>
      </c>
      <c r="C72" s="183">
        <v>13617245</v>
      </c>
      <c r="D72" s="183">
        <v>15285938</v>
      </c>
      <c r="E72" s="183">
        <v>11217004</v>
      </c>
      <c r="F72" s="80"/>
    </row>
    <row r="73" spans="1:6" ht="24" customHeight="1" x14ac:dyDescent="0.3">
      <c r="A73" s="173">
        <v>6</v>
      </c>
      <c r="B73" s="205" t="s">
        <v>17</v>
      </c>
      <c r="C73" s="206">
        <v>96550</v>
      </c>
      <c r="D73" s="206">
        <v>0</v>
      </c>
      <c r="E73" s="206">
        <v>0</v>
      </c>
      <c r="F73" s="80"/>
    </row>
    <row r="74" spans="1:6" ht="24" customHeight="1" x14ac:dyDescent="0.3">
      <c r="A74" s="173">
        <v>7</v>
      </c>
      <c r="B74" s="75" t="s">
        <v>355</v>
      </c>
      <c r="C74" s="204">
        <f>+C72+C73</f>
        <v>13713795</v>
      </c>
      <c r="D74" s="204">
        <f>+D72+D73</f>
        <v>15285938</v>
      </c>
      <c r="E74" s="204">
        <f>+E72+E73</f>
        <v>11217004</v>
      </c>
      <c r="F74" s="80"/>
    </row>
    <row r="75" spans="1:6" ht="24" customHeight="1" x14ac:dyDescent="0.3">
      <c r="A75" s="173">
        <v>8</v>
      </c>
      <c r="B75" s="75" t="s">
        <v>334</v>
      </c>
      <c r="C75" s="204">
        <f>+C14</f>
        <v>141228949</v>
      </c>
      <c r="D75" s="204">
        <f>+D14</f>
        <v>136633273</v>
      </c>
      <c r="E75" s="204">
        <f>+E14</f>
        <v>140143704</v>
      </c>
      <c r="F75" s="80"/>
    </row>
    <row r="76" spans="1:6" ht="24" customHeight="1" x14ac:dyDescent="0.3">
      <c r="A76" s="173">
        <v>9</v>
      </c>
      <c r="B76" s="82" t="s">
        <v>356</v>
      </c>
      <c r="C76" s="204">
        <v>6614415</v>
      </c>
      <c r="D76" s="204">
        <v>7176664</v>
      </c>
      <c r="E76" s="204">
        <v>6760410</v>
      </c>
      <c r="F76" s="80"/>
    </row>
    <row r="77" spans="1:6" ht="24" customHeight="1" x14ac:dyDescent="0.3">
      <c r="A77" s="173">
        <v>10</v>
      </c>
      <c r="B77" s="82" t="s">
        <v>357</v>
      </c>
      <c r="C77" s="204">
        <f>+C75-C76</f>
        <v>134614534</v>
      </c>
      <c r="D77" s="204">
        <f>+D75-D76</f>
        <v>129456609</v>
      </c>
      <c r="E77" s="204">
        <f>+E75-E76</f>
        <v>133383294</v>
      </c>
      <c r="F77" s="80"/>
    </row>
    <row r="78" spans="1:6" ht="24" customHeight="1" x14ac:dyDescent="0.3">
      <c r="A78" s="190"/>
      <c r="B78" s="207"/>
      <c r="C78" s="208"/>
      <c r="D78" s="208"/>
      <c r="E78" s="209"/>
      <c r="F78" s="80"/>
    </row>
    <row r="79" spans="1:6" ht="24" customHeight="1" x14ac:dyDescent="0.3">
      <c r="A79" s="71">
        <v>11</v>
      </c>
      <c r="B79" s="210" t="s">
        <v>358</v>
      </c>
      <c r="C79" s="203">
        <f>IF((C84/365)=0,0,+C83/(C84/365))</f>
        <v>48.40076331601216</v>
      </c>
      <c r="D79" s="203">
        <f>IF((D84/365)=0,0,+D83/(D84/365))</f>
        <v>41.999244419380098</v>
      </c>
      <c r="E79" s="203">
        <f>IF((E84/365)=0,0,+E83/(E84/365))</f>
        <v>41.522548036512774</v>
      </c>
      <c r="F79" s="80"/>
    </row>
    <row r="80" spans="1:6" ht="24" customHeight="1" x14ac:dyDescent="0.3">
      <c r="A80" s="173">
        <v>12</v>
      </c>
      <c r="B80" s="211" t="s">
        <v>359</v>
      </c>
      <c r="C80" s="212">
        <v>17715144</v>
      </c>
      <c r="D80" s="212">
        <v>16471779</v>
      </c>
      <c r="E80" s="212">
        <v>17168498</v>
      </c>
      <c r="F80" s="80"/>
    </row>
    <row r="81" spans="1:6" ht="24" customHeight="1" x14ac:dyDescent="0.3">
      <c r="A81" s="173">
        <v>13</v>
      </c>
      <c r="B81" s="211" t="s">
        <v>21</v>
      </c>
      <c r="C81" s="212">
        <v>581194</v>
      </c>
      <c r="D81" s="212">
        <v>0</v>
      </c>
      <c r="E81" s="212">
        <v>0</v>
      </c>
      <c r="F81" s="80"/>
    </row>
    <row r="82" spans="1:6" ht="24" customHeight="1" x14ac:dyDescent="0.3">
      <c r="A82" s="173">
        <v>14</v>
      </c>
      <c r="B82" s="211" t="s">
        <v>49</v>
      </c>
      <c r="C82" s="212">
        <v>0</v>
      </c>
      <c r="D82" s="212">
        <v>1130211</v>
      </c>
      <c r="E82" s="212">
        <v>1976385</v>
      </c>
      <c r="F82" s="80"/>
    </row>
    <row r="83" spans="1:6" ht="33.9" customHeight="1" x14ac:dyDescent="0.3">
      <c r="A83" s="173">
        <v>15</v>
      </c>
      <c r="B83" s="82" t="s">
        <v>360</v>
      </c>
      <c r="C83" s="212">
        <f>+C80+C81-C82</f>
        <v>18296338</v>
      </c>
      <c r="D83" s="212">
        <f>+D80+D81-D82</f>
        <v>15341568</v>
      </c>
      <c r="E83" s="212">
        <f>+E80+E81-E82</f>
        <v>15192113</v>
      </c>
      <c r="F83" s="80"/>
    </row>
    <row r="84" spans="1:6" ht="24" customHeight="1" x14ac:dyDescent="0.3">
      <c r="A84" s="173">
        <v>16</v>
      </c>
      <c r="B84" s="75" t="s">
        <v>75</v>
      </c>
      <c r="C84" s="204">
        <f>+C11</f>
        <v>137976406</v>
      </c>
      <c r="D84" s="204">
        <f>+D11</f>
        <v>133327930</v>
      </c>
      <c r="E84" s="204">
        <f>+E11</f>
        <v>133544821</v>
      </c>
      <c r="F84" s="80"/>
    </row>
    <row r="85" spans="1:6" ht="24" customHeight="1" x14ac:dyDescent="0.3">
      <c r="A85" s="190"/>
      <c r="B85" s="75"/>
      <c r="C85" s="76"/>
      <c r="D85" s="213"/>
      <c r="E85" s="213"/>
      <c r="F85" s="80"/>
    </row>
    <row r="86" spans="1:6" ht="24" customHeight="1" x14ac:dyDescent="0.3">
      <c r="A86" s="71">
        <v>17</v>
      </c>
      <c r="B86" s="72" t="s">
        <v>361</v>
      </c>
      <c r="C86" s="203">
        <f>IF((C90/365)=0,0,+C87/(C90/365))</f>
        <v>73.978677889268624</v>
      </c>
      <c r="D86" s="203">
        <f>IF((D90/365)=0,0,+D87/(D90/365))</f>
        <v>64.942858575880038</v>
      </c>
      <c r="E86" s="203">
        <f>IF((E90/365)=0,0,+E87/(E90/365))</f>
        <v>55.79907379555344</v>
      </c>
      <c r="F86" s="181"/>
    </row>
    <row r="87" spans="1:6" ht="24" customHeight="1" x14ac:dyDescent="0.3">
      <c r="A87" s="173">
        <v>18</v>
      </c>
      <c r="B87" s="75" t="s">
        <v>54</v>
      </c>
      <c r="C87" s="76">
        <f>+C69</f>
        <v>27283850</v>
      </c>
      <c r="D87" s="76">
        <f>+D69</f>
        <v>23033650</v>
      </c>
      <c r="E87" s="76">
        <f>+E69</f>
        <v>20390861</v>
      </c>
      <c r="F87" s="80"/>
    </row>
    <row r="88" spans="1:6" ht="24" customHeight="1" x14ac:dyDescent="0.3">
      <c r="A88" s="173">
        <v>19</v>
      </c>
      <c r="B88" s="75" t="s">
        <v>334</v>
      </c>
      <c r="C88" s="76">
        <f t="shared" ref="C88:E89" si="0">+C75</f>
        <v>141228949</v>
      </c>
      <c r="D88" s="76">
        <f t="shared" si="0"/>
        <v>136633273</v>
      </c>
      <c r="E88" s="76">
        <f t="shared" si="0"/>
        <v>140143704</v>
      </c>
      <c r="F88" s="80"/>
    </row>
    <row r="89" spans="1:6" ht="24" customHeight="1" x14ac:dyDescent="0.3">
      <c r="A89" s="173">
        <v>20</v>
      </c>
      <c r="B89" s="75" t="s">
        <v>356</v>
      </c>
      <c r="C89" s="201">
        <f t="shared" si="0"/>
        <v>6614415</v>
      </c>
      <c r="D89" s="201">
        <f t="shared" si="0"/>
        <v>7176664</v>
      </c>
      <c r="E89" s="201">
        <f t="shared" si="0"/>
        <v>6760410</v>
      </c>
      <c r="F89" s="80"/>
    </row>
    <row r="90" spans="1:6" ht="24" customHeight="1" x14ac:dyDescent="0.3">
      <c r="A90" s="173">
        <v>21</v>
      </c>
      <c r="B90" s="75" t="s">
        <v>362</v>
      </c>
      <c r="C90" s="76">
        <f>+C88-C89</f>
        <v>134614534</v>
      </c>
      <c r="D90" s="76">
        <f>+D88-D89</f>
        <v>129456609</v>
      </c>
      <c r="E90" s="76">
        <f>+E88-E89</f>
        <v>133383294</v>
      </c>
      <c r="F90" s="80"/>
    </row>
    <row r="91" spans="1:6" ht="24" customHeight="1" x14ac:dyDescent="0.3">
      <c r="A91" s="190"/>
      <c r="B91" s="75"/>
      <c r="C91" s="76"/>
      <c r="D91" s="76"/>
      <c r="E91" s="88"/>
      <c r="F91" s="80"/>
    </row>
    <row r="92" spans="1:6" ht="24" customHeight="1" x14ac:dyDescent="0.3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3">
      <c r="A93" s="71"/>
      <c r="B93" s="191"/>
      <c r="C93" s="76"/>
      <c r="D93" s="76"/>
      <c r="E93" s="88"/>
      <c r="F93" s="80"/>
    </row>
    <row r="94" spans="1:6" ht="24" customHeight="1" x14ac:dyDescent="0.3">
      <c r="A94" s="71">
        <v>1</v>
      </c>
      <c r="B94" s="72" t="s">
        <v>364</v>
      </c>
      <c r="C94" s="214">
        <f>IF(C96=0,0,(C95/C96)*100)</f>
        <v>24.862270091091279</v>
      </c>
      <c r="D94" s="214">
        <f>IF(D96=0,0,(D95/D96)*100)</f>
        <v>19.56170055315015</v>
      </c>
      <c r="E94" s="214">
        <f>IF(E96=0,0,(E95/E96)*100)</f>
        <v>15.153616706876837</v>
      </c>
      <c r="F94" s="80"/>
    </row>
    <row r="95" spans="1:6" ht="24" customHeight="1" x14ac:dyDescent="0.3">
      <c r="A95" s="173">
        <v>2</v>
      </c>
      <c r="B95" s="75" t="s">
        <v>67</v>
      </c>
      <c r="C95" s="76">
        <f>+C32</f>
        <v>28426955</v>
      </c>
      <c r="D95" s="76">
        <f>+D32</f>
        <v>21907472</v>
      </c>
      <c r="E95" s="76">
        <f>+E32</f>
        <v>16498881</v>
      </c>
      <c r="F95" s="80"/>
    </row>
    <row r="96" spans="1:6" ht="24" customHeight="1" x14ac:dyDescent="0.3">
      <c r="A96" s="173">
        <v>3</v>
      </c>
      <c r="B96" s="75" t="s">
        <v>43</v>
      </c>
      <c r="C96" s="76">
        <v>114337729</v>
      </c>
      <c r="D96" s="76">
        <v>111991654</v>
      </c>
      <c r="E96" s="76">
        <v>108877513</v>
      </c>
      <c r="F96" s="80"/>
    </row>
    <row r="97" spans="1:6" ht="24" customHeight="1" x14ac:dyDescent="0.3">
      <c r="A97" s="190"/>
      <c r="B97" s="72"/>
      <c r="C97" s="215"/>
      <c r="D97" s="215"/>
      <c r="E97" s="88"/>
      <c r="F97" s="80"/>
    </row>
    <row r="98" spans="1:6" ht="24" customHeight="1" x14ac:dyDescent="0.3">
      <c r="A98" s="71">
        <v>4</v>
      </c>
      <c r="B98" s="72" t="s">
        <v>365</v>
      </c>
      <c r="C98" s="214">
        <f>IF(C104=0,0,(C101/C104)*100)</f>
        <v>16.888080228059859</v>
      </c>
      <c r="D98" s="214">
        <f>IF(D104=0,0,(D101/D104)*100)</f>
        <v>17.69629069504678</v>
      </c>
      <c r="E98" s="214">
        <f>IF(E104=0,0,(E101/E104)*100)</f>
        <v>11.095478755348557</v>
      </c>
      <c r="F98" s="80"/>
    </row>
    <row r="99" spans="1:6" ht="24" customHeight="1" x14ac:dyDescent="0.3">
      <c r="A99" s="173">
        <v>5</v>
      </c>
      <c r="B99" s="75" t="s">
        <v>366</v>
      </c>
      <c r="C99" s="76">
        <f>+C28</f>
        <v>2312710</v>
      </c>
      <c r="D99" s="76">
        <f>+D28</f>
        <v>1327830</v>
      </c>
      <c r="E99" s="76">
        <f>+E28</f>
        <v>-1885665</v>
      </c>
      <c r="F99" s="80"/>
    </row>
    <row r="100" spans="1:6" ht="24" customHeight="1" x14ac:dyDescent="0.3">
      <c r="A100" s="173">
        <v>6</v>
      </c>
      <c r="B100" s="75" t="s">
        <v>356</v>
      </c>
      <c r="C100" s="201">
        <f>+C76</f>
        <v>6614415</v>
      </c>
      <c r="D100" s="201">
        <f>+D76</f>
        <v>7176664</v>
      </c>
      <c r="E100" s="201">
        <f>+E76</f>
        <v>6760410</v>
      </c>
      <c r="F100" s="80"/>
    </row>
    <row r="101" spans="1:6" ht="24" customHeight="1" x14ac:dyDescent="0.3">
      <c r="A101" s="173">
        <v>7</v>
      </c>
      <c r="B101" s="75" t="s">
        <v>367</v>
      </c>
      <c r="C101" s="76">
        <f>+C99+C100</f>
        <v>8927125</v>
      </c>
      <c r="D101" s="76">
        <f>+D99+D100</f>
        <v>8504494</v>
      </c>
      <c r="E101" s="76">
        <f>+E99+E100</f>
        <v>4874745</v>
      </c>
      <c r="F101" s="80"/>
    </row>
    <row r="102" spans="1:6" ht="24" customHeight="1" x14ac:dyDescent="0.3">
      <c r="A102" s="173">
        <v>8</v>
      </c>
      <c r="B102" s="75" t="s">
        <v>54</v>
      </c>
      <c r="C102" s="204">
        <f>+C69</f>
        <v>27283850</v>
      </c>
      <c r="D102" s="204">
        <f>+D69</f>
        <v>23033650</v>
      </c>
      <c r="E102" s="204">
        <f>+E69</f>
        <v>20390861</v>
      </c>
      <c r="F102" s="80"/>
    </row>
    <row r="103" spans="1:6" ht="24" customHeight="1" x14ac:dyDescent="0.3">
      <c r="A103" s="173">
        <v>9</v>
      </c>
      <c r="B103" s="75" t="s">
        <v>58</v>
      </c>
      <c r="C103" s="216">
        <v>25576658</v>
      </c>
      <c r="D103" s="216">
        <v>25024410</v>
      </c>
      <c r="E103" s="216">
        <v>23543656</v>
      </c>
      <c r="F103" s="80"/>
    </row>
    <row r="104" spans="1:6" ht="24" customHeight="1" x14ac:dyDescent="0.3">
      <c r="A104" s="173">
        <v>10</v>
      </c>
      <c r="B104" s="91" t="s">
        <v>368</v>
      </c>
      <c r="C104" s="204">
        <f>+C102+C103</f>
        <v>52860508</v>
      </c>
      <c r="D104" s="204">
        <f>+D102+D103</f>
        <v>48058060</v>
      </c>
      <c r="E104" s="204">
        <f>+E102+E103</f>
        <v>43934517</v>
      </c>
      <c r="F104" s="80"/>
    </row>
    <row r="105" spans="1:6" ht="24" customHeight="1" x14ac:dyDescent="0.3">
      <c r="A105" s="190"/>
      <c r="B105" s="72"/>
      <c r="C105" s="215"/>
      <c r="D105" s="215"/>
      <c r="E105" s="209"/>
      <c r="F105" s="80"/>
    </row>
    <row r="106" spans="1:6" ht="24" customHeight="1" x14ac:dyDescent="0.3">
      <c r="A106" s="83">
        <v>11</v>
      </c>
      <c r="B106" s="72" t="s">
        <v>369</v>
      </c>
      <c r="C106" s="214">
        <f>IF(C109=0,0,(C107/C109)*100)</f>
        <v>47.361012678910946</v>
      </c>
      <c r="D106" s="214">
        <f>IF(D109=0,0,(D107/D109)*100)</f>
        <v>53.320704249618636</v>
      </c>
      <c r="E106" s="214">
        <f>IF(E109=0,0,(E107/E109)*100)</f>
        <v>58.796614210533157</v>
      </c>
      <c r="F106" s="80"/>
    </row>
    <row r="107" spans="1:6" ht="24" customHeight="1" x14ac:dyDescent="0.3">
      <c r="A107" s="217">
        <v>12</v>
      </c>
      <c r="B107" s="75" t="s">
        <v>58</v>
      </c>
      <c r="C107" s="204">
        <f>+C103</f>
        <v>25576658</v>
      </c>
      <c r="D107" s="204">
        <f>+D103</f>
        <v>25024410</v>
      </c>
      <c r="E107" s="204">
        <f>+E103</f>
        <v>23543656</v>
      </c>
      <c r="F107" s="80"/>
    </row>
    <row r="108" spans="1:6" ht="24" customHeight="1" x14ac:dyDescent="0.3">
      <c r="A108" s="217">
        <v>13</v>
      </c>
      <c r="B108" s="75" t="s">
        <v>67</v>
      </c>
      <c r="C108" s="204">
        <f>+C32</f>
        <v>28426955</v>
      </c>
      <c r="D108" s="204">
        <f>+D32</f>
        <v>21907472</v>
      </c>
      <c r="E108" s="204">
        <f>+E32</f>
        <v>16498881</v>
      </c>
      <c r="F108" s="80"/>
    </row>
    <row r="109" spans="1:6" ht="24" customHeight="1" x14ac:dyDescent="0.3">
      <c r="A109" s="217">
        <v>14</v>
      </c>
      <c r="B109" s="75" t="s">
        <v>370</v>
      </c>
      <c r="C109" s="204">
        <f>+C107+C108</f>
        <v>54003613</v>
      </c>
      <c r="D109" s="204">
        <f>+D107+D108</f>
        <v>46931882</v>
      </c>
      <c r="E109" s="204">
        <f>+E107+E108</f>
        <v>40042537</v>
      </c>
      <c r="F109" s="80"/>
    </row>
    <row r="110" spans="1:6" ht="24" customHeight="1" x14ac:dyDescent="0.3">
      <c r="A110" s="190"/>
      <c r="B110" s="75"/>
      <c r="C110" s="76"/>
      <c r="D110" s="76"/>
      <c r="E110" s="88"/>
      <c r="F110" s="80"/>
    </row>
    <row r="111" spans="1:6" ht="24" customHeight="1" x14ac:dyDescent="0.3">
      <c r="A111" s="83" t="s">
        <v>371</v>
      </c>
      <c r="B111" s="72" t="s">
        <v>372</v>
      </c>
      <c r="C111" s="214">
        <f>IF((+C113+C115)=0,0,((+C112+C113+C114)/(+C113+C115)))</f>
        <v>3.8547201676160934</v>
      </c>
      <c r="D111" s="214">
        <f>IF((+D113+D115)=0,0,((+D112+D113+D114)/(+D113+D115)))</f>
        <v>3.8122486399394533</v>
      </c>
      <c r="E111" s="214">
        <f>IF((+E113+E115)=0,0,((+E112+E113+E114)/(+E113+E115)))</f>
        <v>2.3961301949475318</v>
      </c>
    </row>
    <row r="112" spans="1:6" ht="24" customHeight="1" x14ac:dyDescent="0.25">
      <c r="A112" s="85">
        <v>16</v>
      </c>
      <c r="B112" s="75" t="s">
        <v>373</v>
      </c>
      <c r="C112" s="218">
        <f>+C17</f>
        <v>2312710</v>
      </c>
      <c r="D112" s="76">
        <f>+D17</f>
        <v>1327830</v>
      </c>
      <c r="E112" s="76">
        <f>+E17</f>
        <v>-1885665</v>
      </c>
    </row>
    <row r="113" spans="1:8" ht="24" customHeight="1" x14ac:dyDescent="0.25">
      <c r="A113" s="85">
        <v>17</v>
      </c>
      <c r="B113" s="75" t="s">
        <v>88</v>
      </c>
      <c r="C113" s="218">
        <v>1412468</v>
      </c>
      <c r="D113" s="76">
        <v>1267462</v>
      </c>
      <c r="E113" s="76">
        <v>1044552</v>
      </c>
    </row>
    <row r="114" spans="1:8" ht="24" customHeight="1" x14ac:dyDescent="0.25">
      <c r="A114" s="85">
        <v>18</v>
      </c>
      <c r="B114" s="75" t="s">
        <v>374</v>
      </c>
      <c r="C114" s="218">
        <v>6614415</v>
      </c>
      <c r="D114" s="76">
        <v>7176664</v>
      </c>
      <c r="E114" s="76">
        <v>6760410</v>
      </c>
    </row>
    <row r="115" spans="1:8" ht="24" customHeight="1" x14ac:dyDescent="0.25">
      <c r="A115" s="85">
        <v>19</v>
      </c>
      <c r="B115" s="75" t="s">
        <v>104</v>
      </c>
      <c r="C115" s="218">
        <v>1269852</v>
      </c>
      <c r="D115" s="76">
        <v>1295843</v>
      </c>
      <c r="E115" s="76">
        <v>1425805</v>
      </c>
    </row>
    <row r="116" spans="1:8" ht="24" customHeight="1" x14ac:dyDescent="0.3">
      <c r="A116" s="190"/>
      <c r="B116" s="75"/>
      <c r="C116" s="76"/>
      <c r="D116" s="76"/>
      <c r="E116" s="88"/>
      <c r="F116" s="80"/>
    </row>
    <row r="117" spans="1:8" ht="24" customHeight="1" x14ac:dyDescent="0.3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3">
      <c r="A118" s="190"/>
      <c r="B118" s="75"/>
      <c r="C118" s="76"/>
      <c r="D118" s="76"/>
      <c r="E118" s="88"/>
      <c r="F118" s="80"/>
    </row>
    <row r="119" spans="1:8" ht="24" customHeight="1" x14ac:dyDescent="0.3">
      <c r="A119" s="83" t="s">
        <v>376</v>
      </c>
      <c r="B119" s="72" t="s">
        <v>377</v>
      </c>
      <c r="C119" s="214">
        <f>IF(+C121=0,0,(+C120)/(+C121))</f>
        <v>17.888626431815965</v>
      </c>
      <c r="D119" s="214">
        <f>IF(+D121=0,0,(+D120)/(+D121))</f>
        <v>17.396556394447337</v>
      </c>
      <c r="E119" s="214">
        <f>IF(+E121=0,0,(+E120)/(+E121))</f>
        <v>19.43355255080683</v>
      </c>
    </row>
    <row r="120" spans="1:8" ht="24" customHeight="1" x14ac:dyDescent="0.25">
      <c r="A120" s="85">
        <v>21</v>
      </c>
      <c r="B120" s="75" t="s">
        <v>378</v>
      </c>
      <c r="C120" s="218">
        <v>118322799</v>
      </c>
      <c r="D120" s="218">
        <v>124849240</v>
      </c>
      <c r="E120" s="218">
        <v>131378783</v>
      </c>
    </row>
    <row r="121" spans="1:8" ht="24" customHeight="1" x14ac:dyDescent="0.25">
      <c r="A121" s="85">
        <v>22</v>
      </c>
      <c r="B121" s="75" t="s">
        <v>374</v>
      </c>
      <c r="C121" s="218">
        <v>6614415</v>
      </c>
      <c r="D121" s="218">
        <v>7176664</v>
      </c>
      <c r="E121" s="218">
        <v>6760410</v>
      </c>
    </row>
    <row r="122" spans="1:8" ht="24" customHeight="1" x14ac:dyDescent="0.3">
      <c r="A122" s="190"/>
      <c r="B122" s="75"/>
      <c r="C122" s="76"/>
      <c r="D122" s="76"/>
      <c r="E122" s="88"/>
      <c r="F122" s="80"/>
    </row>
    <row r="123" spans="1:8" ht="24" customHeight="1" x14ac:dyDescent="0.3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5">
      <c r="A124" s="85">
        <v>1</v>
      </c>
      <c r="B124" s="75" t="s">
        <v>380</v>
      </c>
      <c r="C124" s="218">
        <v>29830</v>
      </c>
      <c r="D124" s="218">
        <v>28080</v>
      </c>
      <c r="E124" s="218">
        <v>25693</v>
      </c>
    </row>
    <row r="125" spans="1:8" ht="24" customHeight="1" x14ac:dyDescent="0.25">
      <c r="A125" s="85">
        <v>2</v>
      </c>
      <c r="B125" s="75" t="s">
        <v>381</v>
      </c>
      <c r="C125" s="218">
        <v>7349</v>
      </c>
      <c r="D125" s="218">
        <v>7071</v>
      </c>
      <c r="E125" s="218">
        <v>6709</v>
      </c>
    </row>
    <row r="126" spans="1:8" ht="24" customHeight="1" x14ac:dyDescent="0.25">
      <c r="A126" s="85">
        <v>3</v>
      </c>
      <c r="B126" s="75" t="s">
        <v>382</v>
      </c>
      <c r="C126" s="219">
        <f>IF(C125=0,0,C124/C125)</f>
        <v>4.0590556538304527</v>
      </c>
      <c r="D126" s="219">
        <f>IF(D125=0,0,D124/D125)</f>
        <v>3.9711497666525246</v>
      </c>
      <c r="E126" s="219">
        <f>IF(E125=0,0,E124/E125)</f>
        <v>3.8296318378297807</v>
      </c>
    </row>
    <row r="127" spans="1:8" ht="24" customHeight="1" x14ac:dyDescent="0.25">
      <c r="A127" s="85">
        <v>4</v>
      </c>
      <c r="B127" s="75" t="s">
        <v>383</v>
      </c>
      <c r="C127" s="218">
        <v>115</v>
      </c>
      <c r="D127" s="218">
        <v>128</v>
      </c>
      <c r="E127" s="218">
        <v>141</v>
      </c>
    </row>
    <row r="128" spans="1:8" ht="24" customHeight="1" x14ac:dyDescent="0.25">
      <c r="A128" s="85">
        <v>5</v>
      </c>
      <c r="B128" s="75" t="s">
        <v>384</v>
      </c>
      <c r="C128" s="218">
        <v>0</v>
      </c>
      <c r="D128" s="218">
        <v>154</v>
      </c>
      <c r="E128" s="218">
        <v>154</v>
      </c>
      <c r="G128" s="220"/>
      <c r="H128" s="221"/>
    </row>
    <row r="129" spans="1:7" ht="24" customHeight="1" x14ac:dyDescent="0.25">
      <c r="A129" s="85">
        <v>6</v>
      </c>
      <c r="B129" s="75" t="s">
        <v>385</v>
      </c>
      <c r="C129" s="218">
        <v>154</v>
      </c>
      <c r="D129" s="218">
        <v>154</v>
      </c>
      <c r="E129" s="218">
        <v>154</v>
      </c>
    </row>
    <row r="130" spans="1:7" ht="24" customHeight="1" x14ac:dyDescent="0.25">
      <c r="A130" s="85">
        <v>7</v>
      </c>
      <c r="B130" s="75" t="s">
        <v>386</v>
      </c>
      <c r="C130" s="193">
        <v>0.71060000000000001</v>
      </c>
      <c r="D130" s="193">
        <v>0.60099999999999998</v>
      </c>
      <c r="E130" s="193">
        <v>0.49919999999999998</v>
      </c>
    </row>
    <row r="131" spans="1:7" ht="24" customHeight="1" x14ac:dyDescent="0.25">
      <c r="A131" s="85">
        <v>8</v>
      </c>
      <c r="B131" s="75" t="s">
        <v>387</v>
      </c>
      <c r="C131" s="193">
        <v>0.53059999999999996</v>
      </c>
      <c r="D131" s="193">
        <v>0.4995</v>
      </c>
      <c r="E131" s="193">
        <v>0.45700000000000002</v>
      </c>
    </row>
    <row r="132" spans="1:7" ht="24" customHeight="1" x14ac:dyDescent="0.25">
      <c r="A132" s="85">
        <v>9</v>
      </c>
      <c r="B132" s="75" t="s">
        <v>388</v>
      </c>
      <c r="C132" s="219">
        <v>895.9</v>
      </c>
      <c r="D132" s="219">
        <v>871.8</v>
      </c>
      <c r="E132" s="219">
        <v>848.8</v>
      </c>
    </row>
    <row r="133" spans="1:7" ht="24" customHeight="1" x14ac:dyDescent="0.25">
      <c r="B133" s="56"/>
    </row>
    <row r="134" spans="1:7" ht="20.100000000000001" customHeight="1" x14ac:dyDescent="0.3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5">
      <c r="A135" s="226">
        <v>1</v>
      </c>
      <c r="B135" s="91" t="s">
        <v>390</v>
      </c>
      <c r="C135" s="227">
        <f>IF(C149=0,0,C143/C149)</f>
        <v>0.32422771590885563</v>
      </c>
      <c r="D135" s="227">
        <f>IF(D149=0,0,D143/D149)</f>
        <v>0.29887176932941972</v>
      </c>
      <c r="E135" s="227">
        <f>IF(E149=0,0,E143/E149)</f>
        <v>0.30719077095898945</v>
      </c>
      <c r="G135" s="220"/>
    </row>
    <row r="136" spans="1:7" ht="20.100000000000001" customHeight="1" x14ac:dyDescent="0.25">
      <c r="A136" s="226">
        <v>2</v>
      </c>
      <c r="B136" s="91" t="s">
        <v>391</v>
      </c>
      <c r="C136" s="227">
        <f>IF(C149=0,0,C144/C149)</f>
        <v>0.45770665303400165</v>
      </c>
      <c r="D136" s="227">
        <f>IF(D149=0,0,D144/D149)</f>
        <v>0.46286377894238268</v>
      </c>
      <c r="E136" s="227">
        <f>IF(E149=0,0,E144/E149)</f>
        <v>0.46328184466646488</v>
      </c>
    </row>
    <row r="137" spans="1:7" ht="20.100000000000001" customHeight="1" x14ac:dyDescent="0.25">
      <c r="A137" s="226">
        <v>3</v>
      </c>
      <c r="B137" s="91" t="s">
        <v>392</v>
      </c>
      <c r="C137" s="227">
        <f>IF(C149=0,0,C145/C149)</f>
        <v>0.19853254659651587</v>
      </c>
      <c r="D137" s="227">
        <f>IF(D149=0,0,D145/D149)</f>
        <v>0.22057673499491623</v>
      </c>
      <c r="E137" s="227">
        <f>IF(E149=0,0,E145/E149)</f>
        <v>0.21292778777601509</v>
      </c>
      <c r="G137" s="220"/>
    </row>
    <row r="138" spans="1:7" ht="20.100000000000001" customHeight="1" x14ac:dyDescent="0.25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5">
      <c r="A139" s="226">
        <v>5</v>
      </c>
      <c r="B139" s="91" t="s">
        <v>394</v>
      </c>
      <c r="C139" s="227">
        <f>IF(C149=0,0,C147/C149)</f>
        <v>1.6136742147576173E-2</v>
      </c>
      <c r="D139" s="227">
        <f>IF(D149=0,0,D147/D149)</f>
        <v>1.4637017315469987E-2</v>
      </c>
      <c r="E139" s="227">
        <f>IF(E149=0,0,E147/E149)</f>
        <v>1.5027402769698349E-2</v>
      </c>
    </row>
    <row r="140" spans="1:7" ht="20.100000000000001" customHeight="1" x14ac:dyDescent="0.25">
      <c r="A140" s="226">
        <v>6</v>
      </c>
      <c r="B140" s="91" t="s">
        <v>395</v>
      </c>
      <c r="C140" s="227">
        <f>IF(C149=0,0,C148/C149)</f>
        <v>3.3963423130506844E-3</v>
      </c>
      <c r="D140" s="227">
        <f>IF(D149=0,0,D148/D149)</f>
        <v>3.0506994178113845E-3</v>
      </c>
      <c r="E140" s="227">
        <f>IF(E149=0,0,E148/E149)</f>
        <v>1.5721938288322276E-3</v>
      </c>
    </row>
    <row r="141" spans="1:7" ht="20.100000000000001" customHeight="1" x14ac:dyDescent="0.25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5">
      <c r="A142" s="56"/>
      <c r="B142" s="56"/>
      <c r="C142" s="224"/>
      <c r="D142" s="224"/>
      <c r="E142" s="224"/>
    </row>
    <row r="143" spans="1:7" ht="20.100000000000001" customHeight="1" x14ac:dyDescent="0.25">
      <c r="A143" s="226">
        <v>8</v>
      </c>
      <c r="B143" s="224" t="s">
        <v>397</v>
      </c>
      <c r="C143" s="228">
        <f>+C46-C147</f>
        <v>146905029</v>
      </c>
      <c r="D143" s="229">
        <f>+D46-D147</f>
        <v>132731538</v>
      </c>
      <c r="E143" s="229">
        <f>+E46-E147</f>
        <v>144192264</v>
      </c>
    </row>
    <row r="144" spans="1:7" ht="20.100000000000001" customHeight="1" x14ac:dyDescent="0.25">
      <c r="A144" s="226">
        <v>9</v>
      </c>
      <c r="B144" s="224" t="s">
        <v>398</v>
      </c>
      <c r="C144" s="230">
        <f>+C51</f>
        <v>207383286</v>
      </c>
      <c r="D144" s="229">
        <f>+D51</f>
        <v>205561808</v>
      </c>
      <c r="E144" s="229">
        <f>+E51</f>
        <v>217459847</v>
      </c>
    </row>
    <row r="145" spans="1:7" ht="20.100000000000001" customHeight="1" x14ac:dyDescent="0.25">
      <c r="A145" s="226">
        <v>10</v>
      </c>
      <c r="B145" s="224" t="s">
        <v>399</v>
      </c>
      <c r="C145" s="230">
        <f>+C55</f>
        <v>89953536</v>
      </c>
      <c r="D145" s="229">
        <f>+D55</f>
        <v>97960036</v>
      </c>
      <c r="E145" s="229">
        <f>+E55</f>
        <v>99946166</v>
      </c>
    </row>
    <row r="146" spans="1:7" ht="20.100000000000001" customHeight="1" x14ac:dyDescent="0.25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5">
      <c r="A147" s="226">
        <v>12</v>
      </c>
      <c r="B147" s="224" t="s">
        <v>401</v>
      </c>
      <c r="C147" s="230">
        <f>+C47</f>
        <v>7311431</v>
      </c>
      <c r="D147" s="229">
        <f>+D47</f>
        <v>6500426</v>
      </c>
      <c r="E147" s="229">
        <f>+E47</f>
        <v>7053712</v>
      </c>
    </row>
    <row r="148" spans="1:7" ht="20.100000000000001" customHeight="1" x14ac:dyDescent="0.25">
      <c r="A148" s="226">
        <v>13</v>
      </c>
      <c r="B148" s="224" t="s">
        <v>402</v>
      </c>
      <c r="C148" s="230">
        <v>1538856</v>
      </c>
      <c r="D148" s="229">
        <v>1354842</v>
      </c>
      <c r="E148" s="229">
        <v>737972</v>
      </c>
    </row>
    <row r="149" spans="1:7" ht="20.100000000000001" customHeight="1" x14ac:dyDescent="0.25">
      <c r="A149" s="226">
        <v>14</v>
      </c>
      <c r="B149" s="224" t="s">
        <v>403</v>
      </c>
      <c r="C149" s="228">
        <f>SUM(C143:C148)</f>
        <v>453092138</v>
      </c>
      <c r="D149" s="229">
        <f>SUM(D143:D148)</f>
        <v>444108650</v>
      </c>
      <c r="E149" s="229">
        <f>SUM(E143:E148)</f>
        <v>469389961</v>
      </c>
    </row>
    <row r="150" spans="1:7" ht="20.100000000000001" customHeight="1" x14ac:dyDescent="0.25">
      <c r="A150" s="56"/>
      <c r="B150" s="56"/>
      <c r="C150" s="224"/>
      <c r="D150" s="224"/>
      <c r="E150" s="224"/>
    </row>
    <row r="151" spans="1:7" ht="20.100000000000001" customHeight="1" x14ac:dyDescent="0.3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5">
      <c r="A152" s="226">
        <v>1</v>
      </c>
      <c r="B152" s="91" t="s">
        <v>405</v>
      </c>
      <c r="C152" s="227">
        <f>IF(C166=0,0,C160/C166)</f>
        <v>0.47044803109769728</v>
      </c>
      <c r="D152" s="227">
        <f>IF(D166=0,0,D160/D166)</f>
        <v>0.44384899335162731</v>
      </c>
      <c r="E152" s="227">
        <f>IF(E166=0,0,E160/E166)</f>
        <v>0.45840441591410924</v>
      </c>
    </row>
    <row r="153" spans="1:7" ht="20.100000000000001" customHeight="1" x14ac:dyDescent="0.25">
      <c r="A153" s="226">
        <v>2</v>
      </c>
      <c r="B153" s="91" t="s">
        <v>406</v>
      </c>
      <c r="C153" s="227">
        <f>IF(C166=0,0,C161/C166)</f>
        <v>0.38201919100476717</v>
      </c>
      <c r="D153" s="227">
        <f>IF(D166=0,0,D161/D166)</f>
        <v>0.39159414025049277</v>
      </c>
      <c r="E153" s="227">
        <f>IF(E166=0,0,E161/E166)</f>
        <v>0.37317636509375363</v>
      </c>
    </row>
    <row r="154" spans="1:7" ht="20.100000000000001" customHeight="1" x14ac:dyDescent="0.25">
      <c r="A154" s="226">
        <v>3</v>
      </c>
      <c r="B154" s="91" t="s">
        <v>407</v>
      </c>
      <c r="C154" s="227">
        <f>IF(C166=0,0,C162/C166)</f>
        <v>0.1449458924102576</v>
      </c>
      <c r="D154" s="227">
        <f>IF(D166=0,0,D162/D166)</f>
        <v>0.16139075843971284</v>
      </c>
      <c r="E154" s="227">
        <f>IF(E166=0,0,E162/E166)</f>
        <v>0.16642239899172381</v>
      </c>
    </row>
    <row r="155" spans="1:7" ht="20.100000000000001" customHeight="1" x14ac:dyDescent="0.25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5">
      <c r="A156" s="226">
        <v>5</v>
      </c>
      <c r="B156" s="91" t="s">
        <v>409</v>
      </c>
      <c r="C156" s="227">
        <f>IF(C166=0,0,C164/C166)</f>
        <v>4.9951860318656668E-4</v>
      </c>
      <c r="D156" s="227">
        <f>IF(D166=0,0,D164/D166)</f>
        <v>8.1426962031863842E-4</v>
      </c>
      <c r="E156" s="227">
        <f>IF(E166=0,0,E164/E166)</f>
        <v>1.0593421652347391E-3</v>
      </c>
    </row>
    <row r="157" spans="1:7" ht="20.100000000000001" customHeight="1" x14ac:dyDescent="0.25">
      <c r="A157" s="226">
        <v>6</v>
      </c>
      <c r="B157" s="91" t="s">
        <v>410</v>
      </c>
      <c r="C157" s="227">
        <f>IF(C166=0,0,C165/C166)</f>
        <v>2.0873668840913706E-3</v>
      </c>
      <c r="D157" s="227">
        <f>IF(D166=0,0,D165/D166)</f>
        <v>2.3518383378484213E-3</v>
      </c>
      <c r="E157" s="227">
        <f>IF(E166=0,0,E165/E166)</f>
        <v>9.3747783517857152E-4</v>
      </c>
    </row>
    <row r="158" spans="1:7" ht="20.100000000000001" customHeight="1" x14ac:dyDescent="0.25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5">
      <c r="A159" s="225"/>
      <c r="B159" s="56"/>
      <c r="C159" s="56"/>
      <c r="D159" s="225"/>
      <c r="E159" s="225"/>
    </row>
    <row r="160" spans="1:7" ht="20.100000000000001" customHeight="1" x14ac:dyDescent="0.25">
      <c r="A160" s="226">
        <v>8</v>
      </c>
      <c r="B160" s="224" t="s">
        <v>412</v>
      </c>
      <c r="C160" s="228">
        <f>+C44-C164</f>
        <v>63966306</v>
      </c>
      <c r="D160" s="229">
        <f>+D44-D164</f>
        <v>59046165</v>
      </c>
      <c r="E160" s="229">
        <f>+E44-E164</f>
        <v>61799266</v>
      </c>
    </row>
    <row r="161" spans="1:6" ht="20.100000000000001" customHeight="1" x14ac:dyDescent="0.25">
      <c r="A161" s="226">
        <v>9</v>
      </c>
      <c r="B161" s="224" t="s">
        <v>413</v>
      </c>
      <c r="C161" s="230">
        <f>+C50</f>
        <v>51942733</v>
      </c>
      <c r="D161" s="229">
        <f>+D50</f>
        <v>52094592</v>
      </c>
      <c r="E161" s="229">
        <f>+E50</f>
        <v>50309344</v>
      </c>
    </row>
    <row r="162" spans="1:6" ht="20.100000000000001" customHeight="1" x14ac:dyDescent="0.25">
      <c r="A162" s="226">
        <v>10</v>
      </c>
      <c r="B162" s="224" t="s">
        <v>414</v>
      </c>
      <c r="C162" s="230">
        <f>+C54</f>
        <v>19708135</v>
      </c>
      <c r="D162" s="229">
        <f>+D54</f>
        <v>21470152</v>
      </c>
      <c r="E162" s="229">
        <f>+E54</f>
        <v>22436045</v>
      </c>
    </row>
    <row r="163" spans="1:6" ht="20.100000000000001" customHeight="1" x14ac:dyDescent="0.25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5">
      <c r="A164" s="226">
        <v>12</v>
      </c>
      <c r="B164" s="224" t="s">
        <v>416</v>
      </c>
      <c r="C164" s="230">
        <f>+C45</f>
        <v>67919</v>
      </c>
      <c r="D164" s="229">
        <f>+D45</f>
        <v>108324</v>
      </c>
      <c r="E164" s="229">
        <f>+E45</f>
        <v>142814</v>
      </c>
    </row>
    <row r="165" spans="1:6" ht="20.100000000000001" customHeight="1" x14ac:dyDescent="0.25">
      <c r="A165" s="226">
        <v>13</v>
      </c>
      <c r="B165" s="224" t="s">
        <v>417</v>
      </c>
      <c r="C165" s="230">
        <v>283817</v>
      </c>
      <c r="D165" s="229">
        <v>312870</v>
      </c>
      <c r="E165" s="229">
        <v>126385</v>
      </c>
    </row>
    <row r="166" spans="1:6" ht="20.100000000000001" customHeight="1" x14ac:dyDescent="0.25">
      <c r="A166" s="226">
        <v>14</v>
      </c>
      <c r="B166" s="224" t="s">
        <v>418</v>
      </c>
      <c r="C166" s="228">
        <f>SUM(C160:C165)</f>
        <v>135968910</v>
      </c>
      <c r="D166" s="229">
        <f>SUM(D160:D165)</f>
        <v>133032103</v>
      </c>
      <c r="E166" s="229">
        <f>SUM(E160:E165)</f>
        <v>134813854</v>
      </c>
    </row>
    <row r="167" spans="1:6" ht="20.100000000000001" customHeight="1" x14ac:dyDescent="0.25">
      <c r="A167" s="225"/>
      <c r="B167" s="56"/>
      <c r="C167" s="56"/>
      <c r="D167" s="56"/>
      <c r="E167" s="56"/>
      <c r="F167" s="225"/>
    </row>
    <row r="168" spans="1:6" ht="20.100000000000001" customHeight="1" x14ac:dyDescent="0.3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5">
      <c r="A169" s="226">
        <v>1</v>
      </c>
      <c r="B169" s="224" t="s">
        <v>419</v>
      </c>
      <c r="C169" s="218">
        <v>2116</v>
      </c>
      <c r="D169" s="218">
        <v>1833</v>
      </c>
      <c r="E169" s="218">
        <v>1820</v>
      </c>
    </row>
    <row r="170" spans="1:6" ht="20.100000000000001" customHeight="1" x14ac:dyDescent="0.25">
      <c r="A170" s="226">
        <v>2</v>
      </c>
      <c r="B170" s="224" t="s">
        <v>420</v>
      </c>
      <c r="C170" s="218">
        <v>3410</v>
      </c>
      <c r="D170" s="218">
        <v>3380</v>
      </c>
      <c r="E170" s="218">
        <v>3148</v>
      </c>
    </row>
    <row r="171" spans="1:6" ht="20.100000000000001" customHeight="1" x14ac:dyDescent="0.25">
      <c r="A171" s="226">
        <v>3</v>
      </c>
      <c r="B171" s="224" t="s">
        <v>421</v>
      </c>
      <c r="C171" s="218">
        <v>1797</v>
      </c>
      <c r="D171" s="218">
        <v>1840</v>
      </c>
      <c r="E171" s="218">
        <v>1721</v>
      </c>
    </row>
    <row r="172" spans="1:6" ht="20.100000000000001" customHeight="1" x14ac:dyDescent="0.25">
      <c r="A172" s="226">
        <v>4</v>
      </c>
      <c r="B172" s="224" t="s">
        <v>422</v>
      </c>
      <c r="C172" s="218">
        <v>1797</v>
      </c>
      <c r="D172" s="218">
        <v>1840</v>
      </c>
      <c r="E172" s="218">
        <v>1721</v>
      </c>
    </row>
    <row r="173" spans="1:6" ht="20.100000000000001" customHeight="1" x14ac:dyDescent="0.25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5">
      <c r="A174" s="226">
        <v>6</v>
      </c>
      <c r="B174" s="224" t="s">
        <v>424</v>
      </c>
      <c r="C174" s="218">
        <v>26</v>
      </c>
      <c r="D174" s="218">
        <v>18</v>
      </c>
      <c r="E174" s="218">
        <v>20</v>
      </c>
    </row>
    <row r="175" spans="1:6" ht="20.100000000000001" customHeight="1" x14ac:dyDescent="0.25">
      <c r="A175" s="226">
        <v>7</v>
      </c>
      <c r="B175" s="224" t="s">
        <v>425</v>
      </c>
      <c r="C175" s="218">
        <v>113</v>
      </c>
      <c r="D175" s="218">
        <v>102</v>
      </c>
      <c r="E175" s="218">
        <v>88</v>
      </c>
    </row>
    <row r="176" spans="1:6" ht="20.100000000000001" customHeight="1" x14ac:dyDescent="0.25">
      <c r="A176" s="226">
        <v>8</v>
      </c>
      <c r="B176" s="224" t="s">
        <v>426</v>
      </c>
      <c r="C176" s="218">
        <f>+C169+C170+C171+C174</f>
        <v>7349</v>
      </c>
      <c r="D176" s="218">
        <f>+D169+D170+D171+D174</f>
        <v>7071</v>
      </c>
      <c r="E176" s="218">
        <f>+E169+E170+E171+E174</f>
        <v>6709</v>
      </c>
    </row>
    <row r="177" spans="1:6" ht="20.100000000000001" customHeight="1" x14ac:dyDescent="0.25">
      <c r="A177" s="225"/>
      <c r="B177" s="56"/>
      <c r="C177" s="56"/>
      <c r="D177" s="56"/>
      <c r="E177" s="56"/>
      <c r="F177" s="225"/>
    </row>
    <row r="178" spans="1:6" ht="20.100000000000001" customHeight="1" x14ac:dyDescent="0.3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5">
      <c r="A179" s="226">
        <v>1</v>
      </c>
      <c r="B179" s="224" t="s">
        <v>419</v>
      </c>
      <c r="C179" s="231">
        <v>1.0463</v>
      </c>
      <c r="D179" s="231">
        <v>0.99299999999999999</v>
      </c>
      <c r="E179" s="231">
        <v>1.1357999999999999</v>
      </c>
    </row>
    <row r="180" spans="1:6" ht="20.100000000000001" customHeight="1" x14ac:dyDescent="0.25">
      <c r="A180" s="226">
        <v>2</v>
      </c>
      <c r="B180" s="224" t="s">
        <v>420</v>
      </c>
      <c r="C180" s="231">
        <v>1.3064</v>
      </c>
      <c r="D180" s="231">
        <v>1.2741</v>
      </c>
      <c r="E180" s="231">
        <v>1.4052</v>
      </c>
    </row>
    <row r="181" spans="1:6" ht="20.100000000000001" customHeight="1" x14ac:dyDescent="0.25">
      <c r="A181" s="226">
        <v>3</v>
      </c>
      <c r="B181" s="224" t="s">
        <v>421</v>
      </c>
      <c r="C181" s="231">
        <v>0.94320000000000004</v>
      </c>
      <c r="D181" s="231">
        <v>0.93630000000000002</v>
      </c>
      <c r="E181" s="231">
        <v>1.1167</v>
      </c>
    </row>
    <row r="182" spans="1:6" ht="20.100000000000001" customHeight="1" x14ac:dyDescent="0.25">
      <c r="A182" s="226">
        <v>4</v>
      </c>
      <c r="B182" s="224" t="s">
        <v>422</v>
      </c>
      <c r="C182" s="231">
        <v>0.94320000000000004</v>
      </c>
      <c r="D182" s="231">
        <v>0.93630000000000002</v>
      </c>
      <c r="E182" s="231">
        <v>1.1167</v>
      </c>
    </row>
    <row r="183" spans="1:6" ht="20.100000000000001" customHeight="1" x14ac:dyDescent="0.25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5">
      <c r="A184" s="226">
        <v>6</v>
      </c>
      <c r="B184" s="224" t="s">
        <v>424</v>
      </c>
      <c r="C184" s="231">
        <v>1.0066999999999999</v>
      </c>
      <c r="D184" s="231">
        <v>0.62180000000000002</v>
      </c>
      <c r="E184" s="231">
        <v>1.0768</v>
      </c>
    </row>
    <row r="185" spans="1:6" ht="20.100000000000001" customHeight="1" x14ac:dyDescent="0.25">
      <c r="A185" s="226">
        <v>7</v>
      </c>
      <c r="B185" s="224" t="s">
        <v>425</v>
      </c>
      <c r="C185" s="231">
        <v>1.1759999999999999</v>
      </c>
      <c r="D185" s="231">
        <v>1.1252</v>
      </c>
      <c r="E185" s="231">
        <v>1.2588999999999999</v>
      </c>
    </row>
    <row r="186" spans="1:6" ht="20.100000000000001" customHeight="1" x14ac:dyDescent="0.25">
      <c r="A186" s="226">
        <v>8</v>
      </c>
      <c r="B186" s="224" t="s">
        <v>429</v>
      </c>
      <c r="C186" s="231">
        <v>1.1416379999999999</v>
      </c>
      <c r="D186" s="231">
        <v>1.1116680000000001</v>
      </c>
      <c r="E186" s="231">
        <v>1.2571319999999999</v>
      </c>
    </row>
    <row r="187" spans="1:6" ht="20.100000000000001" customHeight="1" x14ac:dyDescent="0.25">
      <c r="A187" s="225"/>
      <c r="B187" s="56"/>
      <c r="C187" s="56"/>
      <c r="D187" s="56"/>
      <c r="E187" s="56"/>
      <c r="F187" s="225"/>
    </row>
    <row r="188" spans="1:6" ht="20.100000000000001" customHeight="1" x14ac:dyDescent="0.3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5">
      <c r="A189" s="226">
        <v>1</v>
      </c>
      <c r="B189" s="224" t="s">
        <v>432</v>
      </c>
      <c r="C189" s="218">
        <v>5323</v>
      </c>
      <c r="D189" s="218">
        <v>5331</v>
      </c>
      <c r="E189" s="218">
        <v>5068</v>
      </c>
    </row>
    <row r="190" spans="1:6" ht="20.100000000000001" customHeight="1" x14ac:dyDescent="0.25">
      <c r="A190" s="226">
        <v>2</v>
      </c>
      <c r="B190" s="224" t="s">
        <v>433</v>
      </c>
      <c r="C190" s="218">
        <v>33489</v>
      </c>
      <c r="D190" s="218">
        <v>34310</v>
      </c>
      <c r="E190" s="218">
        <v>33755</v>
      </c>
    </row>
    <row r="191" spans="1:6" ht="20.100000000000001" customHeight="1" x14ac:dyDescent="0.25">
      <c r="A191" s="226">
        <v>3</v>
      </c>
      <c r="B191" s="224" t="s">
        <v>434</v>
      </c>
      <c r="C191" s="218">
        <f>+C190+C189</f>
        <v>38812</v>
      </c>
      <c r="D191" s="218">
        <f>+D190+D189</f>
        <v>39641</v>
      </c>
      <c r="E191" s="218">
        <f>+E190+E189</f>
        <v>38823</v>
      </c>
    </row>
    <row r="192" spans="1:6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rintOptions gridLines="1"/>
  <pageMargins left="0.2" right="0.2" top="0.5" bottom="0.5" header="0.25" footer="0.25"/>
  <pageSetup scale="76" fitToHeight="6" orientation="portrait" r:id="rId1"/>
  <headerFooter>
    <oddHeader>&amp;LOFFICE OF HEALTH CARE ACCESS&amp;CTWELVE MONTHS ACTUAL FILING&amp;RBRISTOL HOSPITAL</oddHeader>
    <oddFooter>&amp;LREPORT 165&amp;C&amp;P of &amp;N&amp;R&amp;D,&amp;T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ColWidth="9.109375" defaultRowHeight="20.25" customHeight="1" x14ac:dyDescent="0.35"/>
  <cols>
    <col min="1" max="1" width="10.88671875" style="235" customWidth="1"/>
    <col min="2" max="2" width="77" style="235" customWidth="1"/>
    <col min="3" max="3" width="23.5546875" style="245" customWidth="1"/>
    <col min="4" max="4" width="21.33203125" style="235" customWidth="1"/>
    <col min="5" max="5" width="22.44140625" style="235" customWidth="1"/>
    <col min="6" max="6" width="22.33203125" style="235" bestFit="1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787" t="s">
        <v>0</v>
      </c>
      <c r="B2" s="787"/>
      <c r="C2" s="787"/>
      <c r="D2" s="787"/>
      <c r="E2" s="787"/>
      <c r="F2" s="787"/>
    </row>
    <row r="3" spans="1:7" ht="20.25" customHeight="1" x14ac:dyDescent="0.4">
      <c r="A3" s="787" t="s">
        <v>1</v>
      </c>
      <c r="B3" s="787"/>
      <c r="C3" s="787"/>
      <c r="D3" s="787"/>
      <c r="E3" s="787"/>
      <c r="F3" s="787"/>
    </row>
    <row r="4" spans="1:7" ht="20.25" customHeight="1" x14ac:dyDescent="0.4">
      <c r="A4" s="787" t="s">
        <v>2</v>
      </c>
      <c r="B4" s="787"/>
      <c r="C4" s="787"/>
      <c r="D4" s="787"/>
      <c r="E4" s="787"/>
      <c r="F4" s="787"/>
    </row>
    <row r="5" spans="1:7" ht="20.25" customHeight="1" x14ac:dyDescent="0.4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4">
      <c r="A9" s="246"/>
      <c r="B9" s="247"/>
      <c r="C9" s="788"/>
      <c r="D9" s="789"/>
      <c r="E9" s="789"/>
      <c r="F9" s="790"/>
      <c r="G9" s="245"/>
    </row>
    <row r="10" spans="1:7" ht="20.25" customHeight="1" x14ac:dyDescent="0.35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5">
      <c r="A11" s="792"/>
      <c r="B11" s="794"/>
      <c r="C11" s="798"/>
      <c r="D11" s="799"/>
      <c r="E11" s="799"/>
      <c r="F11" s="800"/>
    </row>
    <row r="12" spans="1:7" ht="20.25" customHeight="1" x14ac:dyDescent="0.4">
      <c r="A12" s="248"/>
      <c r="B12" s="249"/>
      <c r="C12" s="250"/>
      <c r="D12" s="250"/>
      <c r="E12" s="250"/>
      <c r="F12" s="250"/>
    </row>
    <row r="13" spans="1:7" ht="18.75" customHeight="1" x14ac:dyDescent="0.4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444066</v>
      </c>
      <c r="D14" s="258">
        <v>2702632</v>
      </c>
      <c r="E14" s="258">
        <f t="shared" ref="E14:E24" si="0">D14-C14</f>
        <v>2258566</v>
      </c>
      <c r="F14" s="259">
        <f t="shared" ref="F14:F24" si="1">IF(C14=0,0,E14/C14)</f>
        <v>5.0861043178266296</v>
      </c>
    </row>
    <row r="15" spans="1:7" ht="20.25" customHeight="1" x14ac:dyDescent="0.35">
      <c r="A15" s="256">
        <v>2</v>
      </c>
      <c r="B15" s="257" t="s">
        <v>442</v>
      </c>
      <c r="C15" s="258">
        <v>164341</v>
      </c>
      <c r="D15" s="258">
        <v>952128</v>
      </c>
      <c r="E15" s="258">
        <f t="shared" si="0"/>
        <v>787787</v>
      </c>
      <c r="F15" s="259">
        <f t="shared" si="1"/>
        <v>4.7936120627232404</v>
      </c>
    </row>
    <row r="16" spans="1:7" ht="20.25" customHeight="1" x14ac:dyDescent="0.35">
      <c r="A16" s="256">
        <v>3</v>
      </c>
      <c r="B16" s="257" t="s">
        <v>443</v>
      </c>
      <c r="C16" s="258">
        <v>1006586</v>
      </c>
      <c r="D16" s="258">
        <v>4163006</v>
      </c>
      <c r="E16" s="258">
        <f t="shared" si="0"/>
        <v>3156420</v>
      </c>
      <c r="F16" s="259">
        <f t="shared" si="1"/>
        <v>3.1357678330515228</v>
      </c>
    </row>
    <row r="17" spans="1:6" ht="20.25" customHeight="1" x14ac:dyDescent="0.35">
      <c r="A17" s="256">
        <v>4</v>
      </c>
      <c r="B17" s="257" t="s">
        <v>444</v>
      </c>
      <c r="C17" s="258">
        <v>189734</v>
      </c>
      <c r="D17" s="258">
        <v>697088</v>
      </c>
      <c r="E17" s="258">
        <f t="shared" si="0"/>
        <v>507354</v>
      </c>
      <c r="F17" s="259">
        <f t="shared" si="1"/>
        <v>2.6740278495156375</v>
      </c>
    </row>
    <row r="18" spans="1:6" ht="20.25" customHeight="1" x14ac:dyDescent="0.35">
      <c r="A18" s="256">
        <v>5</v>
      </c>
      <c r="B18" s="257" t="s">
        <v>381</v>
      </c>
      <c r="C18" s="260">
        <v>23</v>
      </c>
      <c r="D18" s="260">
        <v>93</v>
      </c>
      <c r="E18" s="260">
        <f t="shared" si="0"/>
        <v>70</v>
      </c>
      <c r="F18" s="259">
        <f t="shared" si="1"/>
        <v>3.0434782608695654</v>
      </c>
    </row>
    <row r="19" spans="1:6" ht="20.25" customHeight="1" x14ac:dyDescent="0.35">
      <c r="A19" s="256">
        <v>6</v>
      </c>
      <c r="B19" s="257" t="s">
        <v>380</v>
      </c>
      <c r="C19" s="260">
        <v>85</v>
      </c>
      <c r="D19" s="260">
        <v>405</v>
      </c>
      <c r="E19" s="260">
        <f t="shared" si="0"/>
        <v>320</v>
      </c>
      <c r="F19" s="259">
        <f t="shared" si="1"/>
        <v>3.7647058823529411</v>
      </c>
    </row>
    <row r="20" spans="1:6" ht="20.25" customHeight="1" x14ac:dyDescent="0.35">
      <c r="A20" s="256">
        <v>7</v>
      </c>
      <c r="B20" s="257" t="s">
        <v>445</v>
      </c>
      <c r="C20" s="260">
        <v>526</v>
      </c>
      <c r="D20" s="260">
        <v>1894</v>
      </c>
      <c r="E20" s="260">
        <f t="shared" si="0"/>
        <v>1368</v>
      </c>
      <c r="F20" s="259">
        <f t="shared" si="1"/>
        <v>2.6007604562737643</v>
      </c>
    </row>
    <row r="21" spans="1:6" ht="20.25" customHeight="1" x14ac:dyDescent="0.35">
      <c r="A21" s="256">
        <v>8</v>
      </c>
      <c r="B21" s="257" t="s">
        <v>446</v>
      </c>
      <c r="C21" s="260">
        <v>105</v>
      </c>
      <c r="D21" s="260">
        <v>380</v>
      </c>
      <c r="E21" s="260">
        <f t="shared" si="0"/>
        <v>275</v>
      </c>
      <c r="F21" s="259">
        <f t="shared" si="1"/>
        <v>2.6190476190476191</v>
      </c>
    </row>
    <row r="22" spans="1:6" ht="20.25" customHeight="1" x14ac:dyDescent="0.35">
      <c r="A22" s="256">
        <v>9</v>
      </c>
      <c r="B22" s="257" t="s">
        <v>447</v>
      </c>
      <c r="C22" s="260">
        <v>22</v>
      </c>
      <c r="D22" s="260">
        <v>79</v>
      </c>
      <c r="E22" s="260">
        <f t="shared" si="0"/>
        <v>57</v>
      </c>
      <c r="F22" s="259">
        <f t="shared" si="1"/>
        <v>2.5909090909090908</v>
      </c>
    </row>
    <row r="23" spans="1:6" s="265" customFormat="1" ht="20.25" customHeight="1" x14ac:dyDescent="0.4">
      <c r="A23" s="261"/>
      <c r="B23" s="262" t="s">
        <v>448</v>
      </c>
      <c r="C23" s="263">
        <f>+C14+C16</f>
        <v>1450652</v>
      </c>
      <c r="D23" s="263">
        <f>+D14+D16</f>
        <v>6865638</v>
      </c>
      <c r="E23" s="263">
        <f t="shared" si="0"/>
        <v>5414986</v>
      </c>
      <c r="F23" s="264">
        <f t="shared" si="1"/>
        <v>3.7327946330339739</v>
      </c>
    </row>
    <row r="24" spans="1:6" s="265" customFormat="1" ht="20.25" customHeight="1" x14ac:dyDescent="0.4">
      <c r="A24" s="261"/>
      <c r="B24" s="262" t="s">
        <v>449</v>
      </c>
      <c r="C24" s="263">
        <f>+C15+C17</f>
        <v>354075</v>
      </c>
      <c r="D24" s="263">
        <f>+D15+D17</f>
        <v>1649216</v>
      </c>
      <c r="E24" s="263">
        <f t="shared" si="0"/>
        <v>1295141</v>
      </c>
      <c r="F24" s="264">
        <f t="shared" si="1"/>
        <v>3.6578154345830685</v>
      </c>
    </row>
    <row r="25" spans="1:6" s="265" customFormat="1" ht="20.25" customHeight="1" x14ac:dyDescent="0.4">
      <c r="A25" s="266"/>
      <c r="B25" s="262"/>
      <c r="C25" s="263"/>
      <c r="D25" s="263"/>
      <c r="E25" s="263"/>
      <c r="F25" s="264"/>
    </row>
    <row r="26" spans="1:6" ht="18.75" customHeight="1" x14ac:dyDescent="0.4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5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5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5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5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4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4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4">
      <c r="A38" s="266"/>
      <c r="B38" s="262"/>
      <c r="C38" s="263"/>
      <c r="D38" s="263"/>
      <c r="E38" s="263"/>
      <c r="F38" s="264"/>
    </row>
    <row r="39" spans="1:6" ht="18.75" customHeight="1" x14ac:dyDescent="0.4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5">
      <c r="A40" s="256">
        <v>1</v>
      </c>
      <c r="B40" s="257" t="s">
        <v>441</v>
      </c>
      <c r="C40" s="258">
        <v>7385919</v>
      </c>
      <c r="D40" s="258">
        <v>6414461</v>
      </c>
      <c r="E40" s="258">
        <f t="shared" ref="E40:E50" si="4">D40-C40</f>
        <v>-971458</v>
      </c>
      <c r="F40" s="259">
        <f t="shared" ref="F40:F50" si="5">IF(C40=0,0,E40/C40)</f>
        <v>-0.13152838529639982</v>
      </c>
    </row>
    <row r="41" spans="1:6" ht="20.25" customHeight="1" x14ac:dyDescent="0.35">
      <c r="A41" s="256">
        <v>2</v>
      </c>
      <c r="B41" s="257" t="s">
        <v>442</v>
      </c>
      <c r="C41" s="258">
        <v>2497887</v>
      </c>
      <c r="D41" s="258">
        <v>2322922</v>
      </c>
      <c r="E41" s="258">
        <f t="shared" si="4"/>
        <v>-174965</v>
      </c>
      <c r="F41" s="259">
        <f t="shared" si="5"/>
        <v>-7.0045202204903581E-2</v>
      </c>
    </row>
    <row r="42" spans="1:6" ht="20.25" customHeight="1" x14ac:dyDescent="0.35">
      <c r="A42" s="256">
        <v>3</v>
      </c>
      <c r="B42" s="257" t="s">
        <v>443</v>
      </c>
      <c r="C42" s="258">
        <v>10280198</v>
      </c>
      <c r="D42" s="258">
        <v>11040008</v>
      </c>
      <c r="E42" s="258">
        <f t="shared" si="4"/>
        <v>759810</v>
      </c>
      <c r="F42" s="259">
        <f t="shared" si="5"/>
        <v>7.3910055039795933E-2</v>
      </c>
    </row>
    <row r="43" spans="1:6" ht="20.25" customHeight="1" x14ac:dyDescent="0.35">
      <c r="A43" s="256">
        <v>4</v>
      </c>
      <c r="B43" s="257" t="s">
        <v>444</v>
      </c>
      <c r="C43" s="258">
        <v>1761193</v>
      </c>
      <c r="D43" s="258">
        <v>1650633</v>
      </c>
      <c r="E43" s="258">
        <f t="shared" si="4"/>
        <v>-110560</v>
      </c>
      <c r="F43" s="259">
        <f t="shared" si="5"/>
        <v>-6.2775629928122578E-2</v>
      </c>
    </row>
    <row r="44" spans="1:6" ht="20.25" customHeight="1" x14ac:dyDescent="0.35">
      <c r="A44" s="256">
        <v>5</v>
      </c>
      <c r="B44" s="257" t="s">
        <v>381</v>
      </c>
      <c r="C44" s="260">
        <v>265</v>
      </c>
      <c r="D44" s="260">
        <v>232</v>
      </c>
      <c r="E44" s="260">
        <f t="shared" si="4"/>
        <v>-33</v>
      </c>
      <c r="F44" s="259">
        <f t="shared" si="5"/>
        <v>-0.12452830188679245</v>
      </c>
    </row>
    <row r="45" spans="1:6" ht="20.25" customHeight="1" x14ac:dyDescent="0.35">
      <c r="A45" s="256">
        <v>6</v>
      </c>
      <c r="B45" s="257" t="s">
        <v>380</v>
      </c>
      <c r="C45" s="260">
        <v>1141</v>
      </c>
      <c r="D45" s="260">
        <v>892</v>
      </c>
      <c r="E45" s="260">
        <f t="shared" si="4"/>
        <v>-249</v>
      </c>
      <c r="F45" s="259">
        <f t="shared" si="5"/>
        <v>-0.21822962313759861</v>
      </c>
    </row>
    <row r="46" spans="1:6" ht="20.25" customHeight="1" x14ac:dyDescent="0.35">
      <c r="A46" s="256">
        <v>7</v>
      </c>
      <c r="B46" s="257" t="s">
        <v>445</v>
      </c>
      <c r="C46" s="260">
        <v>4904</v>
      </c>
      <c r="D46" s="260">
        <v>5030</v>
      </c>
      <c r="E46" s="260">
        <f t="shared" si="4"/>
        <v>126</v>
      </c>
      <c r="F46" s="259">
        <f t="shared" si="5"/>
        <v>2.569331158238173E-2</v>
      </c>
    </row>
    <row r="47" spans="1:6" ht="20.25" customHeight="1" x14ac:dyDescent="0.35">
      <c r="A47" s="256">
        <v>8</v>
      </c>
      <c r="B47" s="257" t="s">
        <v>446</v>
      </c>
      <c r="C47" s="260">
        <v>508</v>
      </c>
      <c r="D47" s="260">
        <v>508</v>
      </c>
      <c r="E47" s="260">
        <f t="shared" si="4"/>
        <v>0</v>
      </c>
      <c r="F47" s="259">
        <f t="shared" si="5"/>
        <v>0</v>
      </c>
    </row>
    <row r="48" spans="1:6" ht="20.25" customHeight="1" x14ac:dyDescent="0.35">
      <c r="A48" s="256">
        <v>9</v>
      </c>
      <c r="B48" s="257" t="s">
        <v>447</v>
      </c>
      <c r="C48" s="260">
        <v>231</v>
      </c>
      <c r="D48" s="260">
        <v>202</v>
      </c>
      <c r="E48" s="260">
        <f t="shared" si="4"/>
        <v>-29</v>
      </c>
      <c r="F48" s="259">
        <f t="shared" si="5"/>
        <v>-0.12554112554112554</v>
      </c>
    </row>
    <row r="49" spans="1:6" s="265" customFormat="1" ht="20.25" customHeight="1" x14ac:dyDescent="0.4">
      <c r="A49" s="261"/>
      <c r="B49" s="262" t="s">
        <v>448</v>
      </c>
      <c r="C49" s="263">
        <f>+C40+C42</f>
        <v>17666117</v>
      </c>
      <c r="D49" s="263">
        <f>+D40+D42</f>
        <v>17454469</v>
      </c>
      <c r="E49" s="263">
        <f t="shared" si="4"/>
        <v>-211648</v>
      </c>
      <c r="F49" s="264">
        <f t="shared" si="5"/>
        <v>-1.1980448221870148E-2</v>
      </c>
    </row>
    <row r="50" spans="1:6" s="265" customFormat="1" ht="20.25" customHeight="1" x14ac:dyDescent="0.4">
      <c r="A50" s="261"/>
      <c r="B50" s="262" t="s">
        <v>449</v>
      </c>
      <c r="C50" s="263">
        <f>+C41+C43</f>
        <v>4259080</v>
      </c>
      <c r="D50" s="263">
        <f>+D41+D43</f>
        <v>3973555</v>
      </c>
      <c r="E50" s="263">
        <f t="shared" si="4"/>
        <v>-285525</v>
      </c>
      <c r="F50" s="264">
        <f t="shared" si="5"/>
        <v>-6.703912582059976E-2</v>
      </c>
    </row>
    <row r="51" spans="1:6" s="265" customFormat="1" ht="20.25" customHeight="1" x14ac:dyDescent="0.4">
      <c r="A51" s="266"/>
      <c r="B51" s="262"/>
      <c r="C51" s="263"/>
      <c r="D51" s="263"/>
      <c r="E51" s="263"/>
      <c r="F51" s="264"/>
    </row>
    <row r="52" spans="1:6" ht="18.75" customHeight="1" x14ac:dyDescent="0.4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5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5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5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5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5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5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5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5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4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4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4">
      <c r="A64" s="266"/>
      <c r="B64" s="262"/>
      <c r="C64" s="263"/>
      <c r="D64" s="263"/>
      <c r="E64" s="263"/>
      <c r="F64" s="264"/>
    </row>
    <row r="65" spans="1:6" ht="18.75" customHeight="1" x14ac:dyDescent="0.4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5">
      <c r="A66" s="256">
        <v>1</v>
      </c>
      <c r="B66" s="257" t="s">
        <v>441</v>
      </c>
      <c r="C66" s="258">
        <v>53085</v>
      </c>
      <c r="D66" s="258">
        <v>227353</v>
      </c>
      <c r="E66" s="258">
        <f t="shared" ref="E66:E76" si="8">D66-C66</f>
        <v>174268</v>
      </c>
      <c r="F66" s="259">
        <f t="shared" ref="F66:F76" si="9">IF(C66=0,0,E66/C66)</f>
        <v>3.282810586794763</v>
      </c>
    </row>
    <row r="67" spans="1:6" ht="20.25" customHeight="1" x14ac:dyDescent="0.35">
      <c r="A67" s="256">
        <v>2</v>
      </c>
      <c r="B67" s="257" t="s">
        <v>442</v>
      </c>
      <c r="C67" s="258">
        <v>18700</v>
      </c>
      <c r="D67" s="258">
        <v>85540</v>
      </c>
      <c r="E67" s="258">
        <f t="shared" si="8"/>
        <v>66840</v>
      </c>
      <c r="F67" s="259">
        <f t="shared" si="9"/>
        <v>3.5743315508021389</v>
      </c>
    </row>
    <row r="68" spans="1:6" ht="20.25" customHeight="1" x14ac:dyDescent="0.35">
      <c r="A68" s="256">
        <v>3</v>
      </c>
      <c r="B68" s="257" t="s">
        <v>443</v>
      </c>
      <c r="C68" s="258">
        <v>65765</v>
      </c>
      <c r="D68" s="258">
        <v>51025</v>
      </c>
      <c r="E68" s="258">
        <f t="shared" si="8"/>
        <v>-14740</v>
      </c>
      <c r="F68" s="259">
        <f t="shared" si="9"/>
        <v>-0.22413137687219645</v>
      </c>
    </row>
    <row r="69" spans="1:6" ht="20.25" customHeight="1" x14ac:dyDescent="0.35">
      <c r="A69" s="256">
        <v>4</v>
      </c>
      <c r="B69" s="257" t="s">
        <v>444</v>
      </c>
      <c r="C69" s="258">
        <v>10496</v>
      </c>
      <c r="D69" s="258">
        <v>9106</v>
      </c>
      <c r="E69" s="258">
        <f t="shared" si="8"/>
        <v>-1390</v>
      </c>
      <c r="F69" s="259">
        <f t="shared" si="9"/>
        <v>-0.1324314024390244</v>
      </c>
    </row>
    <row r="70" spans="1:6" ht="20.25" customHeight="1" x14ac:dyDescent="0.35">
      <c r="A70" s="256">
        <v>5</v>
      </c>
      <c r="B70" s="257" t="s">
        <v>381</v>
      </c>
      <c r="C70" s="260">
        <v>4</v>
      </c>
      <c r="D70" s="260">
        <v>10</v>
      </c>
      <c r="E70" s="260">
        <f t="shared" si="8"/>
        <v>6</v>
      </c>
      <c r="F70" s="259">
        <f t="shared" si="9"/>
        <v>1.5</v>
      </c>
    </row>
    <row r="71" spans="1:6" ht="20.25" customHeight="1" x14ac:dyDescent="0.35">
      <c r="A71" s="256">
        <v>6</v>
      </c>
      <c r="B71" s="257" t="s">
        <v>380</v>
      </c>
      <c r="C71" s="260">
        <v>7</v>
      </c>
      <c r="D71" s="260">
        <v>44</v>
      </c>
      <c r="E71" s="260">
        <f t="shared" si="8"/>
        <v>37</v>
      </c>
      <c r="F71" s="259">
        <f t="shared" si="9"/>
        <v>5.2857142857142856</v>
      </c>
    </row>
    <row r="72" spans="1:6" ht="20.25" customHeight="1" x14ac:dyDescent="0.35">
      <c r="A72" s="256">
        <v>7</v>
      </c>
      <c r="B72" s="257" t="s">
        <v>445</v>
      </c>
      <c r="C72" s="260">
        <v>17</v>
      </c>
      <c r="D72" s="260">
        <v>18</v>
      </c>
      <c r="E72" s="260">
        <f t="shared" si="8"/>
        <v>1</v>
      </c>
      <c r="F72" s="259">
        <f t="shared" si="9"/>
        <v>5.8823529411764705E-2</v>
      </c>
    </row>
    <row r="73" spans="1:6" ht="20.25" customHeight="1" x14ac:dyDescent="0.35">
      <c r="A73" s="256">
        <v>8</v>
      </c>
      <c r="B73" s="257" t="s">
        <v>446</v>
      </c>
      <c r="C73" s="260">
        <v>15</v>
      </c>
      <c r="D73" s="260">
        <v>14</v>
      </c>
      <c r="E73" s="260">
        <f t="shared" si="8"/>
        <v>-1</v>
      </c>
      <c r="F73" s="259">
        <f t="shared" si="9"/>
        <v>-6.6666666666666666E-2</v>
      </c>
    </row>
    <row r="74" spans="1:6" ht="20.25" customHeight="1" x14ac:dyDescent="0.35">
      <c r="A74" s="256">
        <v>9</v>
      </c>
      <c r="B74" s="257" t="s">
        <v>447</v>
      </c>
      <c r="C74" s="260">
        <v>4</v>
      </c>
      <c r="D74" s="260">
        <v>10</v>
      </c>
      <c r="E74" s="260">
        <f t="shared" si="8"/>
        <v>6</v>
      </c>
      <c r="F74" s="259">
        <f t="shared" si="9"/>
        <v>1.5</v>
      </c>
    </row>
    <row r="75" spans="1:6" s="265" customFormat="1" ht="20.25" customHeight="1" x14ac:dyDescent="0.4">
      <c r="A75" s="261"/>
      <c r="B75" s="262" t="s">
        <v>448</v>
      </c>
      <c r="C75" s="263">
        <f>+C66+C68</f>
        <v>118850</v>
      </c>
      <c r="D75" s="263">
        <f>+D66+D68</f>
        <v>278378</v>
      </c>
      <c r="E75" s="263">
        <f t="shared" si="8"/>
        <v>159528</v>
      </c>
      <c r="F75" s="264">
        <f t="shared" si="9"/>
        <v>1.342263357172907</v>
      </c>
    </row>
    <row r="76" spans="1:6" s="265" customFormat="1" ht="20.25" customHeight="1" x14ac:dyDescent="0.4">
      <c r="A76" s="261"/>
      <c r="B76" s="262" t="s">
        <v>449</v>
      </c>
      <c r="C76" s="263">
        <f>+C67+C69</f>
        <v>29196</v>
      </c>
      <c r="D76" s="263">
        <f>+D67+D69</f>
        <v>94646</v>
      </c>
      <c r="E76" s="263">
        <f t="shared" si="8"/>
        <v>65450</v>
      </c>
      <c r="F76" s="264">
        <f t="shared" si="9"/>
        <v>2.2417454445814493</v>
      </c>
    </row>
    <row r="77" spans="1:6" s="265" customFormat="1" ht="20.25" customHeight="1" x14ac:dyDescent="0.4">
      <c r="A77" s="266"/>
      <c r="B77" s="262"/>
      <c r="C77" s="263"/>
      <c r="D77" s="263"/>
      <c r="E77" s="263"/>
      <c r="F77" s="264"/>
    </row>
    <row r="78" spans="1:6" ht="18.75" customHeight="1" x14ac:dyDescent="0.4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5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5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5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5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5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5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5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5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5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4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4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4">
      <c r="A90" s="266"/>
      <c r="B90" s="262"/>
      <c r="C90" s="263"/>
      <c r="D90" s="263"/>
      <c r="E90" s="263"/>
      <c r="F90" s="264"/>
    </row>
    <row r="91" spans="1:6" ht="18.75" customHeight="1" x14ac:dyDescent="0.4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5">
      <c r="A92" s="256">
        <v>1</v>
      </c>
      <c r="B92" s="257" t="s">
        <v>441</v>
      </c>
      <c r="C92" s="258">
        <v>9738506</v>
      </c>
      <c r="D92" s="258">
        <v>10236551</v>
      </c>
      <c r="E92" s="258">
        <f t="shared" ref="E92:E102" si="12">D92-C92</f>
        <v>498045</v>
      </c>
      <c r="F92" s="259">
        <f t="shared" ref="F92:F102" si="13">IF(C92=0,0,E92/C92)</f>
        <v>5.1141828120247604E-2</v>
      </c>
    </row>
    <row r="93" spans="1:6" ht="20.25" customHeight="1" x14ac:dyDescent="0.35">
      <c r="A93" s="256">
        <v>2</v>
      </c>
      <c r="B93" s="257" t="s">
        <v>442</v>
      </c>
      <c r="C93" s="258">
        <v>3050525</v>
      </c>
      <c r="D93" s="258">
        <v>3338245</v>
      </c>
      <c r="E93" s="258">
        <f t="shared" si="12"/>
        <v>287720</v>
      </c>
      <c r="F93" s="259">
        <f t="shared" si="13"/>
        <v>9.4318191131034818E-2</v>
      </c>
    </row>
    <row r="94" spans="1:6" ht="20.25" customHeight="1" x14ac:dyDescent="0.35">
      <c r="A94" s="256">
        <v>3</v>
      </c>
      <c r="B94" s="257" t="s">
        <v>443</v>
      </c>
      <c r="C94" s="258">
        <v>14219417</v>
      </c>
      <c r="D94" s="258">
        <v>17989633</v>
      </c>
      <c r="E94" s="258">
        <f t="shared" si="12"/>
        <v>3770216</v>
      </c>
      <c r="F94" s="259">
        <f t="shared" si="13"/>
        <v>0.26514561040020135</v>
      </c>
    </row>
    <row r="95" spans="1:6" ht="20.25" customHeight="1" x14ac:dyDescent="0.35">
      <c r="A95" s="256">
        <v>4</v>
      </c>
      <c r="B95" s="257" t="s">
        <v>444</v>
      </c>
      <c r="C95" s="258">
        <v>2427704</v>
      </c>
      <c r="D95" s="258">
        <v>2633027</v>
      </c>
      <c r="E95" s="258">
        <f t="shared" si="12"/>
        <v>205323</v>
      </c>
      <c r="F95" s="259">
        <f t="shared" si="13"/>
        <v>8.4574972896201514E-2</v>
      </c>
    </row>
    <row r="96" spans="1:6" ht="20.25" customHeight="1" x14ac:dyDescent="0.35">
      <c r="A96" s="256">
        <v>5</v>
      </c>
      <c r="B96" s="257" t="s">
        <v>381</v>
      </c>
      <c r="C96" s="260">
        <v>355</v>
      </c>
      <c r="D96" s="260">
        <v>325</v>
      </c>
      <c r="E96" s="260">
        <f t="shared" si="12"/>
        <v>-30</v>
      </c>
      <c r="F96" s="259">
        <f t="shared" si="13"/>
        <v>-8.4507042253521125E-2</v>
      </c>
    </row>
    <row r="97" spans="1:6" ht="20.25" customHeight="1" x14ac:dyDescent="0.35">
      <c r="A97" s="256">
        <v>6</v>
      </c>
      <c r="B97" s="257" t="s">
        <v>380</v>
      </c>
      <c r="C97" s="260">
        <v>1511</v>
      </c>
      <c r="D97" s="260">
        <v>1467</v>
      </c>
      <c r="E97" s="260">
        <f t="shared" si="12"/>
        <v>-44</v>
      </c>
      <c r="F97" s="259">
        <f t="shared" si="13"/>
        <v>-2.911978821972204E-2</v>
      </c>
    </row>
    <row r="98" spans="1:6" ht="20.25" customHeight="1" x14ac:dyDescent="0.35">
      <c r="A98" s="256">
        <v>7</v>
      </c>
      <c r="B98" s="257" t="s">
        <v>445</v>
      </c>
      <c r="C98" s="260">
        <v>6543</v>
      </c>
      <c r="D98" s="260">
        <v>8091</v>
      </c>
      <c r="E98" s="260">
        <f t="shared" si="12"/>
        <v>1548</v>
      </c>
      <c r="F98" s="259">
        <f t="shared" si="13"/>
        <v>0.23658872077028886</v>
      </c>
    </row>
    <row r="99" spans="1:6" ht="20.25" customHeight="1" x14ac:dyDescent="0.35">
      <c r="A99" s="256">
        <v>8</v>
      </c>
      <c r="B99" s="257" t="s">
        <v>446</v>
      </c>
      <c r="C99" s="260">
        <v>722</v>
      </c>
      <c r="D99" s="260">
        <v>872</v>
      </c>
      <c r="E99" s="260">
        <f t="shared" si="12"/>
        <v>150</v>
      </c>
      <c r="F99" s="259">
        <f t="shared" si="13"/>
        <v>0.2077562326869806</v>
      </c>
    </row>
    <row r="100" spans="1:6" ht="20.25" customHeight="1" x14ac:dyDescent="0.35">
      <c r="A100" s="256">
        <v>9</v>
      </c>
      <c r="B100" s="257" t="s">
        <v>447</v>
      </c>
      <c r="C100" s="260">
        <v>325</v>
      </c>
      <c r="D100" s="260">
        <v>289</v>
      </c>
      <c r="E100" s="260">
        <f t="shared" si="12"/>
        <v>-36</v>
      </c>
      <c r="F100" s="259">
        <f t="shared" si="13"/>
        <v>-0.11076923076923077</v>
      </c>
    </row>
    <row r="101" spans="1:6" s="265" customFormat="1" ht="20.25" customHeight="1" x14ac:dyDescent="0.4">
      <c r="A101" s="261"/>
      <c r="B101" s="262" t="s">
        <v>448</v>
      </c>
      <c r="C101" s="263">
        <f>+C92+C94</f>
        <v>23957923</v>
      </c>
      <c r="D101" s="263">
        <f>+D92+D94</f>
        <v>28226184</v>
      </c>
      <c r="E101" s="263">
        <f t="shared" si="12"/>
        <v>4268261</v>
      </c>
      <c r="F101" s="264">
        <f t="shared" si="13"/>
        <v>0.17815655388824816</v>
      </c>
    </row>
    <row r="102" spans="1:6" s="265" customFormat="1" ht="20.25" customHeight="1" x14ac:dyDescent="0.4">
      <c r="A102" s="261"/>
      <c r="B102" s="262" t="s">
        <v>449</v>
      </c>
      <c r="C102" s="263">
        <f>+C93+C95</f>
        <v>5478229</v>
      </c>
      <c r="D102" s="263">
        <f>+D93+D95</f>
        <v>5971272</v>
      </c>
      <c r="E102" s="263">
        <f t="shared" si="12"/>
        <v>493043</v>
      </c>
      <c r="F102" s="264">
        <f t="shared" si="13"/>
        <v>9.0000436272379261E-2</v>
      </c>
    </row>
    <row r="103" spans="1:6" s="265" customFormat="1" ht="20.25" customHeight="1" x14ac:dyDescent="0.4">
      <c r="A103" s="266"/>
      <c r="B103" s="262"/>
      <c r="C103" s="263"/>
      <c r="D103" s="263"/>
      <c r="E103" s="263"/>
      <c r="F103" s="264"/>
    </row>
    <row r="104" spans="1:6" ht="18.75" customHeight="1" x14ac:dyDescent="0.4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5">
      <c r="A105" s="256">
        <v>1</v>
      </c>
      <c r="B105" s="257" t="s">
        <v>441</v>
      </c>
      <c r="C105" s="258">
        <v>1303931</v>
      </c>
      <c r="D105" s="258">
        <v>1349785</v>
      </c>
      <c r="E105" s="258">
        <f t="shared" ref="E105:E115" si="14">D105-C105</f>
        <v>45854</v>
      </c>
      <c r="F105" s="259">
        <f t="shared" ref="F105:F115" si="15">IF(C105=0,0,E105/C105)</f>
        <v>3.5165971205531582E-2</v>
      </c>
    </row>
    <row r="106" spans="1:6" ht="20.25" customHeight="1" x14ac:dyDescent="0.35">
      <c r="A106" s="256">
        <v>2</v>
      </c>
      <c r="B106" s="257" t="s">
        <v>442</v>
      </c>
      <c r="C106" s="258">
        <v>375749</v>
      </c>
      <c r="D106" s="258">
        <v>489149</v>
      </c>
      <c r="E106" s="258">
        <f t="shared" si="14"/>
        <v>113400</v>
      </c>
      <c r="F106" s="259">
        <f t="shared" si="15"/>
        <v>0.30179721037181734</v>
      </c>
    </row>
    <row r="107" spans="1:6" ht="20.25" customHeight="1" x14ac:dyDescent="0.35">
      <c r="A107" s="256">
        <v>3</v>
      </c>
      <c r="B107" s="257" t="s">
        <v>443</v>
      </c>
      <c r="C107" s="258">
        <v>2387152</v>
      </c>
      <c r="D107" s="258">
        <v>1830725</v>
      </c>
      <c r="E107" s="258">
        <f t="shared" si="14"/>
        <v>-556427</v>
      </c>
      <c r="F107" s="259">
        <f t="shared" si="15"/>
        <v>-0.2330924046730162</v>
      </c>
    </row>
    <row r="108" spans="1:6" ht="20.25" customHeight="1" x14ac:dyDescent="0.35">
      <c r="A108" s="256">
        <v>4</v>
      </c>
      <c r="B108" s="257" t="s">
        <v>444</v>
      </c>
      <c r="C108" s="258">
        <v>418353</v>
      </c>
      <c r="D108" s="258">
        <v>301388</v>
      </c>
      <c r="E108" s="258">
        <f t="shared" si="14"/>
        <v>-116965</v>
      </c>
      <c r="F108" s="259">
        <f t="shared" si="15"/>
        <v>-0.27958446575021573</v>
      </c>
    </row>
    <row r="109" spans="1:6" ht="20.25" customHeight="1" x14ac:dyDescent="0.35">
      <c r="A109" s="256">
        <v>5</v>
      </c>
      <c r="B109" s="257" t="s">
        <v>381</v>
      </c>
      <c r="C109" s="260">
        <v>46</v>
      </c>
      <c r="D109" s="260">
        <v>55</v>
      </c>
      <c r="E109" s="260">
        <f t="shared" si="14"/>
        <v>9</v>
      </c>
      <c r="F109" s="259">
        <f t="shared" si="15"/>
        <v>0.19565217391304349</v>
      </c>
    </row>
    <row r="110" spans="1:6" ht="20.25" customHeight="1" x14ac:dyDescent="0.35">
      <c r="A110" s="256">
        <v>6</v>
      </c>
      <c r="B110" s="257" t="s">
        <v>380</v>
      </c>
      <c r="C110" s="260">
        <v>219</v>
      </c>
      <c r="D110" s="260">
        <v>234</v>
      </c>
      <c r="E110" s="260">
        <f t="shared" si="14"/>
        <v>15</v>
      </c>
      <c r="F110" s="259">
        <f t="shared" si="15"/>
        <v>6.8493150684931503E-2</v>
      </c>
    </row>
    <row r="111" spans="1:6" ht="20.25" customHeight="1" x14ac:dyDescent="0.35">
      <c r="A111" s="256">
        <v>7</v>
      </c>
      <c r="B111" s="257" t="s">
        <v>445</v>
      </c>
      <c r="C111" s="260">
        <v>926</v>
      </c>
      <c r="D111" s="260">
        <v>837</v>
      </c>
      <c r="E111" s="260">
        <f t="shared" si="14"/>
        <v>-89</v>
      </c>
      <c r="F111" s="259">
        <f t="shared" si="15"/>
        <v>-9.6112311015118787E-2</v>
      </c>
    </row>
    <row r="112" spans="1:6" ht="20.25" customHeight="1" x14ac:dyDescent="0.35">
      <c r="A112" s="256">
        <v>8</v>
      </c>
      <c r="B112" s="257" t="s">
        <v>446</v>
      </c>
      <c r="C112" s="260">
        <v>231</v>
      </c>
      <c r="D112" s="260">
        <v>227</v>
      </c>
      <c r="E112" s="260">
        <f t="shared" si="14"/>
        <v>-4</v>
      </c>
      <c r="F112" s="259">
        <f t="shared" si="15"/>
        <v>-1.7316017316017316E-2</v>
      </c>
    </row>
    <row r="113" spans="1:6" ht="20.25" customHeight="1" x14ac:dyDescent="0.35">
      <c r="A113" s="256">
        <v>9</v>
      </c>
      <c r="B113" s="257" t="s">
        <v>447</v>
      </c>
      <c r="C113" s="260">
        <v>39</v>
      </c>
      <c r="D113" s="260">
        <v>50</v>
      </c>
      <c r="E113" s="260">
        <f t="shared" si="14"/>
        <v>11</v>
      </c>
      <c r="F113" s="259">
        <f t="shared" si="15"/>
        <v>0.28205128205128205</v>
      </c>
    </row>
    <row r="114" spans="1:6" s="265" customFormat="1" ht="20.25" customHeight="1" x14ac:dyDescent="0.4">
      <c r="A114" s="261"/>
      <c r="B114" s="262" t="s">
        <v>448</v>
      </c>
      <c r="C114" s="263">
        <f>+C105+C107</f>
        <v>3691083</v>
      </c>
      <c r="D114" s="263">
        <f>+D105+D107</f>
        <v>3180510</v>
      </c>
      <c r="E114" s="263">
        <f t="shared" si="14"/>
        <v>-510573</v>
      </c>
      <c r="F114" s="264">
        <f t="shared" si="15"/>
        <v>-0.13832606852785484</v>
      </c>
    </row>
    <row r="115" spans="1:6" s="265" customFormat="1" ht="20.25" customHeight="1" x14ac:dyDescent="0.4">
      <c r="A115" s="261"/>
      <c r="B115" s="262" t="s">
        <v>449</v>
      </c>
      <c r="C115" s="263">
        <f>+C106+C108</f>
        <v>794102</v>
      </c>
      <c r="D115" s="263">
        <f>+D106+D108</f>
        <v>790537</v>
      </c>
      <c r="E115" s="263">
        <f t="shared" si="14"/>
        <v>-3565</v>
      </c>
      <c r="F115" s="264">
        <f t="shared" si="15"/>
        <v>-4.4893477160364787E-3</v>
      </c>
    </row>
    <row r="116" spans="1:6" s="265" customFormat="1" ht="20.25" customHeight="1" x14ac:dyDescent="0.4">
      <c r="A116" s="266"/>
      <c r="B116" s="262"/>
      <c r="C116" s="263"/>
      <c r="D116" s="263"/>
      <c r="E116" s="263"/>
      <c r="F116" s="264"/>
    </row>
    <row r="117" spans="1:6" ht="18.75" customHeight="1" x14ac:dyDescent="0.4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5">
      <c r="A118" s="256">
        <v>1</v>
      </c>
      <c r="B118" s="257" t="s">
        <v>441</v>
      </c>
      <c r="C118" s="258">
        <v>4754727</v>
      </c>
      <c r="D118" s="258">
        <v>5630970</v>
      </c>
      <c r="E118" s="258">
        <f t="shared" ref="E118:E128" si="16">D118-C118</f>
        <v>876243</v>
      </c>
      <c r="F118" s="259">
        <f t="shared" ref="F118:F128" si="17">IF(C118=0,0,E118/C118)</f>
        <v>0.18428881405809419</v>
      </c>
    </row>
    <row r="119" spans="1:6" ht="20.25" customHeight="1" x14ac:dyDescent="0.35">
      <c r="A119" s="256">
        <v>2</v>
      </c>
      <c r="B119" s="257" t="s">
        <v>442</v>
      </c>
      <c r="C119" s="258">
        <v>1565149</v>
      </c>
      <c r="D119" s="258">
        <v>1793117</v>
      </c>
      <c r="E119" s="258">
        <f t="shared" si="16"/>
        <v>227968</v>
      </c>
      <c r="F119" s="259">
        <f t="shared" si="17"/>
        <v>0.14565258643106824</v>
      </c>
    </row>
    <row r="120" spans="1:6" ht="20.25" customHeight="1" x14ac:dyDescent="0.35">
      <c r="A120" s="256">
        <v>3</v>
      </c>
      <c r="B120" s="257" t="s">
        <v>443</v>
      </c>
      <c r="C120" s="258">
        <v>7639697</v>
      </c>
      <c r="D120" s="258">
        <v>8068148</v>
      </c>
      <c r="E120" s="258">
        <f t="shared" si="16"/>
        <v>428451</v>
      </c>
      <c r="F120" s="259">
        <f t="shared" si="17"/>
        <v>5.6082198024345727E-2</v>
      </c>
    </row>
    <row r="121" spans="1:6" ht="20.25" customHeight="1" x14ac:dyDescent="0.35">
      <c r="A121" s="256">
        <v>4</v>
      </c>
      <c r="B121" s="257" t="s">
        <v>444</v>
      </c>
      <c r="C121" s="258">
        <v>1299426</v>
      </c>
      <c r="D121" s="258">
        <v>1313211</v>
      </c>
      <c r="E121" s="258">
        <f t="shared" si="16"/>
        <v>13785</v>
      </c>
      <c r="F121" s="259">
        <f t="shared" si="17"/>
        <v>1.0608530227962192E-2</v>
      </c>
    </row>
    <row r="122" spans="1:6" ht="20.25" customHeight="1" x14ac:dyDescent="0.35">
      <c r="A122" s="256">
        <v>5</v>
      </c>
      <c r="B122" s="257" t="s">
        <v>381</v>
      </c>
      <c r="C122" s="260">
        <v>175</v>
      </c>
      <c r="D122" s="260">
        <v>155</v>
      </c>
      <c r="E122" s="260">
        <f t="shared" si="16"/>
        <v>-20</v>
      </c>
      <c r="F122" s="259">
        <f t="shared" si="17"/>
        <v>-0.11428571428571428</v>
      </c>
    </row>
    <row r="123" spans="1:6" ht="20.25" customHeight="1" x14ac:dyDescent="0.35">
      <c r="A123" s="256">
        <v>6</v>
      </c>
      <c r="B123" s="257" t="s">
        <v>380</v>
      </c>
      <c r="C123" s="260">
        <v>768</v>
      </c>
      <c r="D123" s="260">
        <v>711</v>
      </c>
      <c r="E123" s="260">
        <f t="shared" si="16"/>
        <v>-57</v>
      </c>
      <c r="F123" s="259">
        <f t="shared" si="17"/>
        <v>-7.421875E-2</v>
      </c>
    </row>
    <row r="124" spans="1:6" ht="20.25" customHeight="1" x14ac:dyDescent="0.35">
      <c r="A124" s="256">
        <v>7</v>
      </c>
      <c r="B124" s="257" t="s">
        <v>445</v>
      </c>
      <c r="C124" s="260">
        <v>3213</v>
      </c>
      <c r="D124" s="260">
        <v>3474</v>
      </c>
      <c r="E124" s="260">
        <f t="shared" si="16"/>
        <v>261</v>
      </c>
      <c r="F124" s="259">
        <f t="shared" si="17"/>
        <v>8.1232492997198882E-2</v>
      </c>
    </row>
    <row r="125" spans="1:6" ht="20.25" customHeight="1" x14ac:dyDescent="0.35">
      <c r="A125" s="256">
        <v>8</v>
      </c>
      <c r="B125" s="257" t="s">
        <v>446</v>
      </c>
      <c r="C125" s="260">
        <v>416</v>
      </c>
      <c r="D125" s="260">
        <v>451</v>
      </c>
      <c r="E125" s="260">
        <f t="shared" si="16"/>
        <v>35</v>
      </c>
      <c r="F125" s="259">
        <f t="shared" si="17"/>
        <v>8.4134615384615391E-2</v>
      </c>
    </row>
    <row r="126" spans="1:6" ht="20.25" customHeight="1" x14ac:dyDescent="0.35">
      <c r="A126" s="256">
        <v>9</v>
      </c>
      <c r="B126" s="257" t="s">
        <v>447</v>
      </c>
      <c r="C126" s="260">
        <v>156</v>
      </c>
      <c r="D126" s="260">
        <v>135</v>
      </c>
      <c r="E126" s="260">
        <f t="shared" si="16"/>
        <v>-21</v>
      </c>
      <c r="F126" s="259">
        <f t="shared" si="17"/>
        <v>-0.13461538461538461</v>
      </c>
    </row>
    <row r="127" spans="1:6" s="265" customFormat="1" ht="20.25" customHeight="1" x14ac:dyDescent="0.4">
      <c r="A127" s="261"/>
      <c r="B127" s="262" t="s">
        <v>448</v>
      </c>
      <c r="C127" s="263">
        <f>+C118+C120</f>
        <v>12394424</v>
      </c>
      <c r="D127" s="263">
        <f>+D118+D120</f>
        <v>13699118</v>
      </c>
      <c r="E127" s="263">
        <f t="shared" si="16"/>
        <v>1304694</v>
      </c>
      <c r="F127" s="264">
        <f t="shared" si="17"/>
        <v>0.10526459317512456</v>
      </c>
    </row>
    <row r="128" spans="1:6" s="265" customFormat="1" ht="20.25" customHeight="1" x14ac:dyDescent="0.4">
      <c r="A128" s="261"/>
      <c r="B128" s="262" t="s">
        <v>449</v>
      </c>
      <c r="C128" s="263">
        <f>+C119+C121</f>
        <v>2864575</v>
      </c>
      <c r="D128" s="263">
        <f>+D119+D121</f>
        <v>3106328</v>
      </c>
      <c r="E128" s="263">
        <f t="shared" si="16"/>
        <v>241753</v>
      </c>
      <c r="F128" s="264">
        <f t="shared" si="17"/>
        <v>8.4394020055331073E-2</v>
      </c>
    </row>
    <row r="129" spans="1:6" s="265" customFormat="1" ht="20.25" customHeight="1" x14ac:dyDescent="0.4">
      <c r="A129" s="266"/>
      <c r="B129" s="262"/>
      <c r="C129" s="263"/>
      <c r="D129" s="263"/>
      <c r="E129" s="263"/>
      <c r="F129" s="264"/>
    </row>
    <row r="130" spans="1:6" ht="18.75" customHeight="1" x14ac:dyDescent="0.4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5">
      <c r="A131" s="256">
        <v>1</v>
      </c>
      <c r="B131" s="257" t="s">
        <v>441</v>
      </c>
      <c r="C131" s="258">
        <v>187317</v>
      </c>
      <c r="D131" s="258">
        <v>33271</v>
      </c>
      <c r="E131" s="258">
        <f t="shared" ref="E131:E141" si="18">D131-C131</f>
        <v>-154046</v>
      </c>
      <c r="F131" s="259">
        <f t="shared" ref="F131:F141" si="19">IF(C131=0,0,E131/C131)</f>
        <v>-0.82238131082603283</v>
      </c>
    </row>
    <row r="132" spans="1:6" ht="20.25" customHeight="1" x14ac:dyDescent="0.35">
      <c r="A132" s="256">
        <v>2</v>
      </c>
      <c r="B132" s="257" t="s">
        <v>442</v>
      </c>
      <c r="C132" s="258">
        <v>31428</v>
      </c>
      <c r="D132" s="258">
        <v>14541</v>
      </c>
      <c r="E132" s="258">
        <f t="shared" si="18"/>
        <v>-16887</v>
      </c>
      <c r="F132" s="259">
        <f t="shared" si="19"/>
        <v>-0.53732340588010696</v>
      </c>
    </row>
    <row r="133" spans="1:6" ht="20.25" customHeight="1" x14ac:dyDescent="0.35">
      <c r="A133" s="256">
        <v>3</v>
      </c>
      <c r="B133" s="257" t="s">
        <v>443</v>
      </c>
      <c r="C133" s="258">
        <v>23289</v>
      </c>
      <c r="D133" s="258">
        <v>46439</v>
      </c>
      <c r="E133" s="258">
        <f t="shared" si="18"/>
        <v>23150</v>
      </c>
      <c r="F133" s="259">
        <f t="shared" si="19"/>
        <v>0.99403151702520498</v>
      </c>
    </row>
    <row r="134" spans="1:6" ht="20.25" customHeight="1" x14ac:dyDescent="0.35">
      <c r="A134" s="256">
        <v>4</v>
      </c>
      <c r="B134" s="257" t="s">
        <v>444</v>
      </c>
      <c r="C134" s="258">
        <v>4529</v>
      </c>
      <c r="D134" s="258">
        <v>7149</v>
      </c>
      <c r="E134" s="258">
        <f t="shared" si="18"/>
        <v>2620</v>
      </c>
      <c r="F134" s="259">
        <f t="shared" si="19"/>
        <v>0.57849414881872374</v>
      </c>
    </row>
    <row r="135" spans="1:6" ht="20.25" customHeight="1" x14ac:dyDescent="0.35">
      <c r="A135" s="256">
        <v>5</v>
      </c>
      <c r="B135" s="257" t="s">
        <v>381</v>
      </c>
      <c r="C135" s="260">
        <v>6</v>
      </c>
      <c r="D135" s="260">
        <v>2</v>
      </c>
      <c r="E135" s="260">
        <f t="shared" si="18"/>
        <v>-4</v>
      </c>
      <c r="F135" s="259">
        <f t="shared" si="19"/>
        <v>-0.66666666666666663</v>
      </c>
    </row>
    <row r="136" spans="1:6" ht="20.25" customHeight="1" x14ac:dyDescent="0.35">
      <c r="A136" s="256">
        <v>6</v>
      </c>
      <c r="B136" s="257" t="s">
        <v>380</v>
      </c>
      <c r="C136" s="260">
        <v>43</v>
      </c>
      <c r="D136" s="260">
        <v>6</v>
      </c>
      <c r="E136" s="260">
        <f t="shared" si="18"/>
        <v>-37</v>
      </c>
      <c r="F136" s="259">
        <f t="shared" si="19"/>
        <v>-0.86046511627906974</v>
      </c>
    </row>
    <row r="137" spans="1:6" ht="20.25" customHeight="1" x14ac:dyDescent="0.35">
      <c r="A137" s="256">
        <v>7</v>
      </c>
      <c r="B137" s="257" t="s">
        <v>445</v>
      </c>
      <c r="C137" s="260">
        <v>43</v>
      </c>
      <c r="D137" s="260">
        <v>17</v>
      </c>
      <c r="E137" s="260">
        <f t="shared" si="18"/>
        <v>-26</v>
      </c>
      <c r="F137" s="259">
        <f t="shared" si="19"/>
        <v>-0.60465116279069764</v>
      </c>
    </row>
    <row r="138" spans="1:6" ht="20.25" customHeight="1" x14ac:dyDescent="0.35">
      <c r="A138" s="256">
        <v>8</v>
      </c>
      <c r="B138" s="257" t="s">
        <v>446</v>
      </c>
      <c r="C138" s="260">
        <v>6</v>
      </c>
      <c r="D138" s="260">
        <v>13</v>
      </c>
      <c r="E138" s="260">
        <f t="shared" si="18"/>
        <v>7</v>
      </c>
      <c r="F138" s="259">
        <f t="shared" si="19"/>
        <v>1.1666666666666667</v>
      </c>
    </row>
    <row r="139" spans="1:6" ht="20.25" customHeight="1" x14ac:dyDescent="0.35">
      <c r="A139" s="256">
        <v>9</v>
      </c>
      <c r="B139" s="257" t="s">
        <v>447</v>
      </c>
      <c r="C139" s="260">
        <v>5</v>
      </c>
      <c r="D139" s="260">
        <v>2</v>
      </c>
      <c r="E139" s="260">
        <f t="shared" si="18"/>
        <v>-3</v>
      </c>
      <c r="F139" s="259">
        <f t="shared" si="19"/>
        <v>-0.6</v>
      </c>
    </row>
    <row r="140" spans="1:6" s="265" customFormat="1" ht="20.25" customHeight="1" x14ac:dyDescent="0.4">
      <c r="A140" s="261"/>
      <c r="B140" s="262" t="s">
        <v>448</v>
      </c>
      <c r="C140" s="263">
        <f>+C131+C133</f>
        <v>210606</v>
      </c>
      <c r="D140" s="263">
        <f>+D131+D133</f>
        <v>79710</v>
      </c>
      <c r="E140" s="263">
        <f t="shared" si="18"/>
        <v>-130896</v>
      </c>
      <c r="F140" s="264">
        <f t="shared" si="19"/>
        <v>-0.62152075439446175</v>
      </c>
    </row>
    <row r="141" spans="1:6" s="265" customFormat="1" ht="20.25" customHeight="1" x14ac:dyDescent="0.4">
      <c r="A141" s="261"/>
      <c r="B141" s="262" t="s">
        <v>449</v>
      </c>
      <c r="C141" s="263">
        <f>+C132+C134</f>
        <v>35957</v>
      </c>
      <c r="D141" s="263">
        <f>+D132+D134</f>
        <v>21690</v>
      </c>
      <c r="E141" s="263">
        <f t="shared" si="18"/>
        <v>-14267</v>
      </c>
      <c r="F141" s="264">
        <f t="shared" si="19"/>
        <v>-0.39677948660900519</v>
      </c>
    </row>
    <row r="142" spans="1:6" s="265" customFormat="1" ht="20.25" customHeight="1" x14ac:dyDescent="0.4">
      <c r="A142" s="266"/>
      <c r="B142" s="262"/>
      <c r="C142" s="263"/>
      <c r="D142" s="263"/>
      <c r="E142" s="263"/>
      <c r="F142" s="264"/>
    </row>
    <row r="143" spans="1:6" ht="18.75" customHeight="1" x14ac:dyDescent="0.4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5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5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5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5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5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5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5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5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5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4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4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4">
      <c r="A155" s="266"/>
      <c r="B155" s="262"/>
      <c r="C155" s="263"/>
      <c r="D155" s="263"/>
      <c r="E155" s="263"/>
      <c r="F155" s="264"/>
    </row>
    <row r="156" spans="1:6" ht="18.75" customHeight="1" x14ac:dyDescent="0.4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5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5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5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5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5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5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5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5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5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4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4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4">
      <c r="A168" s="266"/>
      <c r="B168" s="262"/>
      <c r="C168" s="263"/>
      <c r="D168" s="263"/>
      <c r="E168" s="263"/>
      <c r="F168" s="264"/>
    </row>
    <row r="169" spans="1:6" ht="18.75" customHeight="1" x14ac:dyDescent="0.4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5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5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5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5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5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5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5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5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5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4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4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4">
      <c r="A181" s="266"/>
      <c r="B181" s="262"/>
      <c r="C181" s="263"/>
      <c r="D181" s="263"/>
      <c r="E181" s="263"/>
      <c r="F181" s="264"/>
    </row>
    <row r="182" spans="1:6" ht="18.75" customHeight="1" x14ac:dyDescent="0.4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5">
      <c r="A183" s="256">
        <v>1</v>
      </c>
      <c r="B183" s="257" t="s">
        <v>441</v>
      </c>
      <c r="C183" s="258">
        <v>269035</v>
      </c>
      <c r="D183" s="258">
        <v>106378</v>
      </c>
      <c r="E183" s="258">
        <f t="shared" ref="E183:E193" si="26">D183-C183</f>
        <v>-162657</v>
      </c>
      <c r="F183" s="259">
        <f t="shared" ref="F183:F193" si="27">IF(C183=0,0,E183/C183)</f>
        <v>-0.60459419778095791</v>
      </c>
    </row>
    <row r="184" spans="1:6" ht="20.25" customHeight="1" x14ac:dyDescent="0.35">
      <c r="A184" s="256">
        <v>2</v>
      </c>
      <c r="B184" s="257" t="s">
        <v>442</v>
      </c>
      <c r="C184" s="258">
        <v>90510</v>
      </c>
      <c r="D184" s="258">
        <v>30310</v>
      </c>
      <c r="E184" s="258">
        <f t="shared" si="26"/>
        <v>-60200</v>
      </c>
      <c r="F184" s="259">
        <f t="shared" si="27"/>
        <v>-0.66511987625676716</v>
      </c>
    </row>
    <row r="185" spans="1:6" ht="20.25" customHeight="1" x14ac:dyDescent="0.35">
      <c r="A185" s="256">
        <v>3</v>
      </c>
      <c r="B185" s="257" t="s">
        <v>443</v>
      </c>
      <c r="C185" s="258">
        <v>159085</v>
      </c>
      <c r="D185" s="258">
        <v>164392</v>
      </c>
      <c r="E185" s="258">
        <f t="shared" si="26"/>
        <v>5307</v>
      </c>
      <c r="F185" s="259">
        <f t="shared" si="27"/>
        <v>3.3359524782349062E-2</v>
      </c>
    </row>
    <row r="186" spans="1:6" ht="20.25" customHeight="1" x14ac:dyDescent="0.35">
      <c r="A186" s="256">
        <v>4</v>
      </c>
      <c r="B186" s="257" t="s">
        <v>444</v>
      </c>
      <c r="C186" s="258">
        <v>25171</v>
      </c>
      <c r="D186" s="258">
        <v>38192</v>
      </c>
      <c r="E186" s="258">
        <f t="shared" si="26"/>
        <v>13021</v>
      </c>
      <c r="F186" s="259">
        <f t="shared" si="27"/>
        <v>0.51730165666838823</v>
      </c>
    </row>
    <row r="187" spans="1:6" ht="20.25" customHeight="1" x14ac:dyDescent="0.35">
      <c r="A187" s="256">
        <v>5</v>
      </c>
      <c r="B187" s="257" t="s">
        <v>381</v>
      </c>
      <c r="C187" s="260">
        <v>9</v>
      </c>
      <c r="D187" s="260">
        <v>3</v>
      </c>
      <c r="E187" s="260">
        <f t="shared" si="26"/>
        <v>-6</v>
      </c>
      <c r="F187" s="259">
        <f t="shared" si="27"/>
        <v>-0.66666666666666663</v>
      </c>
    </row>
    <row r="188" spans="1:6" ht="20.25" customHeight="1" x14ac:dyDescent="0.35">
      <c r="A188" s="256">
        <v>6</v>
      </c>
      <c r="B188" s="257" t="s">
        <v>380</v>
      </c>
      <c r="C188" s="260">
        <v>43</v>
      </c>
      <c r="D188" s="260">
        <v>14</v>
      </c>
      <c r="E188" s="260">
        <f t="shared" si="26"/>
        <v>-29</v>
      </c>
      <c r="F188" s="259">
        <f t="shared" si="27"/>
        <v>-0.67441860465116277</v>
      </c>
    </row>
    <row r="189" spans="1:6" ht="20.25" customHeight="1" x14ac:dyDescent="0.35">
      <c r="A189" s="256">
        <v>7</v>
      </c>
      <c r="B189" s="257" t="s">
        <v>445</v>
      </c>
      <c r="C189" s="260">
        <v>553</v>
      </c>
      <c r="D189" s="260">
        <v>544</v>
      </c>
      <c r="E189" s="260">
        <f t="shared" si="26"/>
        <v>-9</v>
      </c>
      <c r="F189" s="259">
        <f t="shared" si="27"/>
        <v>-1.62748643761302E-2</v>
      </c>
    </row>
    <row r="190" spans="1:6" ht="20.25" customHeight="1" x14ac:dyDescent="0.35">
      <c r="A190" s="256">
        <v>8</v>
      </c>
      <c r="B190" s="257" t="s">
        <v>446</v>
      </c>
      <c r="C190" s="260">
        <v>14</v>
      </c>
      <c r="D190" s="260">
        <v>13</v>
      </c>
      <c r="E190" s="260">
        <f t="shared" si="26"/>
        <v>-1</v>
      </c>
      <c r="F190" s="259">
        <f t="shared" si="27"/>
        <v>-7.1428571428571425E-2</v>
      </c>
    </row>
    <row r="191" spans="1:6" ht="20.25" customHeight="1" x14ac:dyDescent="0.35">
      <c r="A191" s="256">
        <v>9</v>
      </c>
      <c r="B191" s="257" t="s">
        <v>447</v>
      </c>
      <c r="C191" s="260">
        <v>9</v>
      </c>
      <c r="D191" s="260">
        <v>3</v>
      </c>
      <c r="E191" s="260">
        <f t="shared" si="26"/>
        <v>-6</v>
      </c>
      <c r="F191" s="259">
        <f t="shared" si="27"/>
        <v>-0.66666666666666663</v>
      </c>
    </row>
    <row r="192" spans="1:6" s="265" customFormat="1" ht="20.25" customHeight="1" x14ac:dyDescent="0.4">
      <c r="A192" s="261"/>
      <c r="B192" s="262" t="s">
        <v>448</v>
      </c>
      <c r="C192" s="263">
        <f>+C183+C185</f>
        <v>428120</v>
      </c>
      <c r="D192" s="263">
        <f>+D183+D185</f>
        <v>270770</v>
      </c>
      <c r="E192" s="263">
        <f t="shared" si="26"/>
        <v>-157350</v>
      </c>
      <c r="F192" s="264">
        <f t="shared" si="27"/>
        <v>-0.36753713911987296</v>
      </c>
    </row>
    <row r="193" spans="1:9" s="265" customFormat="1" ht="20.25" customHeight="1" x14ac:dyDescent="0.4">
      <c r="A193" s="261"/>
      <c r="B193" s="262" t="s">
        <v>449</v>
      </c>
      <c r="C193" s="263">
        <f>+C184+C186</f>
        <v>115681</v>
      </c>
      <c r="D193" s="263">
        <f>+D184+D186</f>
        <v>68502</v>
      </c>
      <c r="E193" s="263">
        <f t="shared" si="26"/>
        <v>-47179</v>
      </c>
      <c r="F193" s="264">
        <f t="shared" si="27"/>
        <v>-0.40783706918162876</v>
      </c>
    </row>
    <row r="194" spans="1:9" s="265" customFormat="1" ht="20.25" customHeight="1" x14ac:dyDescent="0.4">
      <c r="A194" s="266"/>
      <c r="B194" s="262"/>
      <c r="C194" s="263"/>
      <c r="D194" s="263"/>
      <c r="E194" s="263"/>
      <c r="F194" s="264"/>
    </row>
    <row r="195" spans="1:9" ht="20.25" customHeight="1" x14ac:dyDescent="0.35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5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4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4">
      <c r="A198" s="271"/>
      <c r="B198" s="272" t="s">
        <v>465</v>
      </c>
      <c r="C198" s="263">
        <f t="shared" ref="C198:D206" si="28">+C183+C170+C157+C144+C131+C118+C105+C92+C79+C66+C53+C40+C27+C14</f>
        <v>24136586</v>
      </c>
      <c r="D198" s="263">
        <f t="shared" si="28"/>
        <v>26701401</v>
      </c>
      <c r="E198" s="263">
        <f t="shared" ref="E198:E208" si="29">D198-C198</f>
        <v>2564815</v>
      </c>
      <c r="F198" s="273">
        <f t="shared" ref="F198:F208" si="30">IF(C198=0,0,E198/C198)</f>
        <v>0.10626254268105688</v>
      </c>
    </row>
    <row r="199" spans="1:9" ht="20.25" customHeight="1" x14ac:dyDescent="0.4">
      <c r="A199" s="271"/>
      <c r="B199" s="272" t="s">
        <v>466</v>
      </c>
      <c r="C199" s="263">
        <f t="shared" si="28"/>
        <v>7794289</v>
      </c>
      <c r="D199" s="263">
        <f t="shared" si="28"/>
        <v>9025952</v>
      </c>
      <c r="E199" s="263">
        <f t="shared" si="29"/>
        <v>1231663</v>
      </c>
      <c r="F199" s="273">
        <f t="shared" si="30"/>
        <v>0.15802121271099903</v>
      </c>
    </row>
    <row r="200" spans="1:9" ht="20.25" customHeight="1" x14ac:dyDescent="0.4">
      <c r="A200" s="271"/>
      <c r="B200" s="272" t="s">
        <v>467</v>
      </c>
      <c r="C200" s="263">
        <f t="shared" si="28"/>
        <v>35781189</v>
      </c>
      <c r="D200" s="263">
        <f t="shared" si="28"/>
        <v>43353376</v>
      </c>
      <c r="E200" s="263">
        <f t="shared" si="29"/>
        <v>7572187</v>
      </c>
      <c r="F200" s="273">
        <f t="shared" si="30"/>
        <v>0.21162480095337247</v>
      </c>
    </row>
    <row r="201" spans="1:9" ht="20.25" customHeight="1" x14ac:dyDescent="0.4">
      <c r="A201" s="271"/>
      <c r="B201" s="272" t="s">
        <v>468</v>
      </c>
      <c r="C201" s="263">
        <f t="shared" si="28"/>
        <v>6136606</v>
      </c>
      <c r="D201" s="263">
        <f t="shared" si="28"/>
        <v>6649794</v>
      </c>
      <c r="E201" s="263">
        <f t="shared" si="29"/>
        <v>513188</v>
      </c>
      <c r="F201" s="273">
        <f t="shared" si="30"/>
        <v>8.3627334067072248E-2</v>
      </c>
    </row>
    <row r="202" spans="1:9" ht="20.25" customHeight="1" x14ac:dyDescent="0.4">
      <c r="A202" s="271"/>
      <c r="B202" s="272" t="s">
        <v>138</v>
      </c>
      <c r="C202" s="274">
        <f t="shared" si="28"/>
        <v>883</v>
      </c>
      <c r="D202" s="274">
        <f t="shared" si="28"/>
        <v>875</v>
      </c>
      <c r="E202" s="274">
        <f t="shared" si="29"/>
        <v>-8</v>
      </c>
      <c r="F202" s="273">
        <f t="shared" si="30"/>
        <v>-9.0600226500566258E-3</v>
      </c>
    </row>
    <row r="203" spans="1:9" ht="20.25" customHeight="1" x14ac:dyDescent="0.4">
      <c r="A203" s="271"/>
      <c r="B203" s="272" t="s">
        <v>140</v>
      </c>
      <c r="C203" s="274">
        <f t="shared" si="28"/>
        <v>3817</v>
      </c>
      <c r="D203" s="274">
        <f t="shared" si="28"/>
        <v>3773</v>
      </c>
      <c r="E203" s="274">
        <f t="shared" si="29"/>
        <v>-44</v>
      </c>
      <c r="F203" s="273">
        <f t="shared" si="30"/>
        <v>-1.1527377521613832E-2</v>
      </c>
    </row>
    <row r="204" spans="1:9" ht="39.9" customHeight="1" x14ac:dyDescent="0.4">
      <c r="A204" s="271"/>
      <c r="B204" s="272" t="s">
        <v>469</v>
      </c>
      <c r="C204" s="274">
        <f t="shared" si="28"/>
        <v>16725</v>
      </c>
      <c r="D204" s="274">
        <f t="shared" si="28"/>
        <v>19905</v>
      </c>
      <c r="E204" s="274">
        <f t="shared" si="29"/>
        <v>3180</v>
      </c>
      <c r="F204" s="273">
        <f t="shared" si="30"/>
        <v>0.19013452914798207</v>
      </c>
    </row>
    <row r="205" spans="1:9" ht="39.9" customHeight="1" x14ac:dyDescent="0.4">
      <c r="A205" s="271"/>
      <c r="B205" s="272" t="s">
        <v>150</v>
      </c>
      <c r="C205" s="274">
        <f t="shared" si="28"/>
        <v>2017</v>
      </c>
      <c r="D205" s="274">
        <f t="shared" si="28"/>
        <v>2478</v>
      </c>
      <c r="E205" s="274">
        <f t="shared" si="29"/>
        <v>461</v>
      </c>
      <c r="F205" s="273">
        <f t="shared" si="30"/>
        <v>0.22855726326227069</v>
      </c>
    </row>
    <row r="206" spans="1:9" ht="39.9" customHeight="1" x14ac:dyDescent="0.4">
      <c r="A206" s="271"/>
      <c r="B206" s="272" t="s">
        <v>470</v>
      </c>
      <c r="C206" s="274">
        <f t="shared" si="28"/>
        <v>791</v>
      </c>
      <c r="D206" s="274">
        <f t="shared" si="28"/>
        <v>770</v>
      </c>
      <c r="E206" s="274">
        <f t="shared" si="29"/>
        <v>-21</v>
      </c>
      <c r="F206" s="273">
        <f t="shared" si="30"/>
        <v>-2.6548672566371681E-2</v>
      </c>
    </row>
    <row r="207" spans="1:9" ht="20.25" customHeight="1" x14ac:dyDescent="0.4">
      <c r="A207" s="271"/>
      <c r="B207" s="262" t="s">
        <v>471</v>
      </c>
      <c r="C207" s="263">
        <f>+C198+C200</f>
        <v>59917775</v>
      </c>
      <c r="D207" s="263">
        <f>+D198+D200</f>
        <v>70054777</v>
      </c>
      <c r="E207" s="263">
        <f t="shared" si="29"/>
        <v>10137002</v>
      </c>
      <c r="F207" s="273">
        <f t="shared" si="30"/>
        <v>0.16918188300550213</v>
      </c>
    </row>
    <row r="208" spans="1:9" ht="20.25" customHeight="1" x14ac:dyDescent="0.4">
      <c r="A208" s="271"/>
      <c r="B208" s="262" t="s">
        <v>472</v>
      </c>
      <c r="C208" s="263">
        <f>+C199+C201</f>
        <v>13930895</v>
      </c>
      <c r="D208" s="263">
        <f>+D199+D201</f>
        <v>15675746</v>
      </c>
      <c r="E208" s="263">
        <f t="shared" si="29"/>
        <v>1744851</v>
      </c>
      <c r="F208" s="273">
        <f t="shared" si="30"/>
        <v>0.125250459500269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scale="57" fitToHeight="0" orientation="portrait" r:id="rId1"/>
  <headerFooter>
    <oddHeader>&amp;LOFFICE OF HEALTH CARE ACCESS&amp;CTWELVE MONTHS ACTUAL FILING&amp;RBRISTOL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opLeftCell="A85" zoomScale="70" workbookViewId="0">
      <selection activeCell="B15" sqref="B15"/>
    </sheetView>
  </sheetViews>
  <sheetFormatPr defaultColWidth="9.109375" defaultRowHeight="20.25" customHeight="1" x14ac:dyDescent="0.35"/>
  <cols>
    <col min="1" max="1" width="8.44140625" style="235" customWidth="1"/>
    <col min="2" max="2" width="72" style="235" customWidth="1"/>
    <col min="3" max="3" width="24.109375" style="245" customWidth="1"/>
    <col min="4" max="6" width="24.109375" style="235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787" t="s">
        <v>0</v>
      </c>
      <c r="B2" s="787"/>
      <c r="C2" s="787"/>
      <c r="D2" s="787"/>
      <c r="E2" s="787"/>
      <c r="F2" s="787"/>
    </row>
    <row r="3" spans="1:7" ht="20.25" customHeight="1" x14ac:dyDescent="0.4">
      <c r="A3" s="787" t="s">
        <v>1</v>
      </c>
      <c r="B3" s="787"/>
      <c r="C3" s="787"/>
      <c r="D3" s="787"/>
      <c r="E3" s="787"/>
      <c r="F3" s="787"/>
    </row>
    <row r="4" spans="1:7" ht="20.25" customHeight="1" x14ac:dyDescent="0.4">
      <c r="A4" s="787" t="s">
        <v>314</v>
      </c>
      <c r="B4" s="787"/>
      <c r="C4" s="787"/>
      <c r="D4" s="787"/>
      <c r="E4" s="787"/>
      <c r="F4" s="787"/>
    </row>
    <row r="5" spans="1:7" ht="20.25" customHeight="1" x14ac:dyDescent="0.4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4">
      <c r="A9" s="277"/>
      <c r="B9" s="278"/>
      <c r="C9" s="279"/>
      <c r="D9" s="280"/>
      <c r="E9" s="280"/>
      <c r="F9" s="281"/>
      <c r="G9" s="245"/>
    </row>
    <row r="10" spans="1:7" ht="20.25" customHeight="1" x14ac:dyDescent="0.35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5">
      <c r="A11" s="792"/>
      <c r="B11" s="803"/>
      <c r="C11" s="798"/>
      <c r="D11" s="799"/>
      <c r="E11" s="799"/>
      <c r="F11" s="800"/>
    </row>
    <row r="12" spans="1:7" ht="20.25" customHeight="1" x14ac:dyDescent="0.4">
      <c r="A12" s="257"/>
      <c r="B12" s="282"/>
      <c r="C12" s="250"/>
      <c r="D12" s="250"/>
      <c r="E12" s="250"/>
      <c r="F12" s="250"/>
    </row>
    <row r="13" spans="1:7" ht="42" customHeight="1" x14ac:dyDescent="0.4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5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5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5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5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5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5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5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5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4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4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4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5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5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5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5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4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4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4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5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5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5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5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5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5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5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5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5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4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4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4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5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5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5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5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5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5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5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5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4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4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4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5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5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5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5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5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5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5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5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5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4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4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4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5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5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5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5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5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5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5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5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5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4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4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4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5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5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5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5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5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5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5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5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5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4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4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4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5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5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5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5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5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5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5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5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5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4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4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4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5">
      <c r="A110" s="792"/>
      <c r="B110" s="803"/>
      <c r="C110" s="798"/>
      <c r="D110" s="799"/>
      <c r="E110" s="799"/>
      <c r="F110" s="800"/>
    </row>
    <row r="111" spans="1:7" ht="20.25" customHeight="1" x14ac:dyDescent="0.4">
      <c r="A111" s="285"/>
      <c r="B111" s="282"/>
      <c r="C111" s="250"/>
      <c r="D111" s="250"/>
      <c r="E111" s="250"/>
      <c r="F111" s="250"/>
    </row>
    <row r="112" spans="1:7" ht="20.25" customHeight="1" x14ac:dyDescent="0.4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4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4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4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4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4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" customHeight="1" x14ac:dyDescent="0.4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" customHeight="1" x14ac:dyDescent="0.4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" customHeight="1" x14ac:dyDescent="0.4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4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4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scale="57" fitToHeight="0" orientation="portrait" r:id="rId1"/>
  <headerFooter>
    <oddHeader>&amp;LOFFICE OF HEALTH CARE ACCESS&amp;CTWELVE MONTHS ACTUAL FILING&amp;RBRISTOL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ColWidth="9.109375" defaultRowHeight="24" customHeight="1" x14ac:dyDescent="0.25"/>
  <cols>
    <col min="1" max="1" width="6.6640625" style="288" customWidth="1"/>
    <col min="2" max="2" width="47.5546875" style="288" customWidth="1"/>
    <col min="3" max="4" width="22.109375" style="288" bestFit="1" customWidth="1"/>
    <col min="5" max="5" width="21.6640625" style="327" customWidth="1"/>
    <col min="6" max="6" width="23.33203125" style="327" customWidth="1"/>
    <col min="7" max="7" width="19.109375" style="288" customWidth="1"/>
    <col min="8" max="16384" width="9.109375" style="288"/>
  </cols>
  <sheetData>
    <row r="1" spans="1:8" ht="24" customHeight="1" x14ac:dyDescent="0.3">
      <c r="A1" s="807" t="s">
        <v>500</v>
      </c>
      <c r="B1" s="808"/>
      <c r="C1" s="808"/>
      <c r="D1" s="808"/>
      <c r="E1" s="808"/>
      <c r="F1" s="809"/>
    </row>
    <row r="2" spans="1:8" ht="24" customHeight="1" x14ac:dyDescent="0.3">
      <c r="A2" s="807" t="s">
        <v>1</v>
      </c>
      <c r="B2" s="808"/>
      <c r="C2" s="808"/>
      <c r="D2" s="808"/>
      <c r="E2" s="808"/>
      <c r="F2" s="809"/>
    </row>
    <row r="3" spans="1:8" ht="24" customHeight="1" x14ac:dyDescent="0.3">
      <c r="A3" s="807" t="s">
        <v>2</v>
      </c>
      <c r="B3" s="808"/>
      <c r="C3" s="808"/>
      <c r="D3" s="808"/>
      <c r="E3" s="808"/>
      <c r="F3" s="809"/>
    </row>
    <row r="4" spans="1:8" ht="24" customHeight="1" x14ac:dyDescent="0.3">
      <c r="A4" s="807" t="s">
        <v>501</v>
      </c>
      <c r="B4" s="808"/>
      <c r="C4" s="808"/>
      <c r="D4" s="808"/>
      <c r="E4" s="808"/>
      <c r="F4" s="809"/>
    </row>
    <row r="5" spans="1:8" ht="15" customHeight="1" x14ac:dyDescent="0.3">
      <c r="A5" s="289"/>
      <c r="B5" s="289"/>
      <c r="C5" s="289"/>
      <c r="D5" s="289"/>
      <c r="E5" s="290"/>
      <c r="F5" s="291"/>
    </row>
    <row r="6" spans="1:8" s="293" customFormat="1" ht="15.75" customHeight="1" x14ac:dyDescent="0.3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3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3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3">
      <c r="A9" s="299"/>
      <c r="B9" s="301"/>
      <c r="C9" s="299"/>
      <c r="D9" s="299"/>
      <c r="E9" s="297"/>
      <c r="F9" s="297"/>
    </row>
    <row r="10" spans="1:8" s="293" customFormat="1" ht="24" customHeight="1" x14ac:dyDescent="0.3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3">
      <c r="A11" s="18"/>
      <c r="B11" s="294"/>
      <c r="C11" s="18"/>
      <c r="D11" s="18"/>
      <c r="E11" s="18"/>
      <c r="F11" s="18"/>
    </row>
    <row r="12" spans="1:8" s="293" customFormat="1" ht="15.75" customHeight="1" x14ac:dyDescent="0.3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5">
      <c r="A13" s="304">
        <v>1</v>
      </c>
      <c r="B13" s="305" t="s">
        <v>16</v>
      </c>
      <c r="C13" s="22">
        <v>20508378</v>
      </c>
      <c r="D13" s="22">
        <v>17006513</v>
      </c>
      <c r="E13" s="22">
        <f t="shared" ref="E13:E22" si="0">D13-C13</f>
        <v>-3501865</v>
      </c>
      <c r="F13" s="306">
        <f t="shared" ref="F13:F22" si="1">IF(C13=0,0,E13/C13)</f>
        <v>-0.17075289913224731</v>
      </c>
    </row>
    <row r="14" spans="1:8" ht="24" customHeight="1" x14ac:dyDescent="0.25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5">
      <c r="A15" s="304">
        <v>3</v>
      </c>
      <c r="B15" s="305" t="s">
        <v>18</v>
      </c>
      <c r="C15" s="22">
        <v>19746504</v>
      </c>
      <c r="D15" s="22">
        <v>20559635</v>
      </c>
      <c r="E15" s="22">
        <f t="shared" si="0"/>
        <v>813131</v>
      </c>
      <c r="F15" s="306">
        <f t="shared" si="1"/>
        <v>4.1178478985444716E-2</v>
      </c>
    </row>
    <row r="16" spans="1:8" ht="35.1" customHeight="1" x14ac:dyDescent="0.25">
      <c r="A16" s="304">
        <v>4</v>
      </c>
      <c r="B16" s="305" t="s">
        <v>19</v>
      </c>
      <c r="C16" s="22">
        <v>601120</v>
      </c>
      <c r="D16" s="22">
        <v>601120</v>
      </c>
      <c r="E16" s="22">
        <f t="shared" si="0"/>
        <v>0</v>
      </c>
      <c r="F16" s="306">
        <f t="shared" si="1"/>
        <v>0</v>
      </c>
    </row>
    <row r="17" spans="1:11" ht="24" customHeight="1" x14ac:dyDescent="0.25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5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5">
      <c r="A19" s="304">
        <v>7</v>
      </c>
      <c r="B19" s="305" t="s">
        <v>22</v>
      </c>
      <c r="C19" s="22">
        <v>1419330</v>
      </c>
      <c r="D19" s="22">
        <v>1468991</v>
      </c>
      <c r="E19" s="22">
        <f t="shared" si="0"/>
        <v>49661</v>
      </c>
      <c r="F19" s="306">
        <f t="shared" si="1"/>
        <v>3.4989044126454032E-2</v>
      </c>
    </row>
    <row r="20" spans="1:11" ht="24" customHeight="1" x14ac:dyDescent="0.25">
      <c r="A20" s="304">
        <v>8</v>
      </c>
      <c r="B20" s="305" t="s">
        <v>23</v>
      </c>
      <c r="C20" s="22">
        <v>1308744</v>
      </c>
      <c r="D20" s="22">
        <v>1489764</v>
      </c>
      <c r="E20" s="22">
        <f t="shared" si="0"/>
        <v>181020</v>
      </c>
      <c r="F20" s="306">
        <f t="shared" si="1"/>
        <v>0.13831582035906181</v>
      </c>
    </row>
    <row r="21" spans="1:11" ht="24" customHeight="1" x14ac:dyDescent="0.25">
      <c r="A21" s="304">
        <v>9</v>
      </c>
      <c r="B21" s="305" t="s">
        <v>24</v>
      </c>
      <c r="C21" s="22">
        <v>3282946</v>
      </c>
      <c r="D21" s="22">
        <v>4571091</v>
      </c>
      <c r="E21" s="22">
        <f t="shared" si="0"/>
        <v>1288145</v>
      </c>
      <c r="F21" s="306">
        <f t="shared" si="1"/>
        <v>0.39237471466177026</v>
      </c>
    </row>
    <row r="22" spans="1:11" ht="24" customHeight="1" x14ac:dyDescent="0.3">
      <c r="A22" s="307"/>
      <c r="B22" s="308" t="s">
        <v>25</v>
      </c>
      <c r="C22" s="309">
        <f>SUM(C13:C21)</f>
        <v>46867022</v>
      </c>
      <c r="D22" s="309">
        <f>SUM(D13:D21)</f>
        <v>45697114</v>
      </c>
      <c r="E22" s="309">
        <f t="shared" si="0"/>
        <v>-1169908</v>
      </c>
      <c r="F22" s="310">
        <f t="shared" si="1"/>
        <v>-2.4962285847818535E-2</v>
      </c>
    </row>
    <row r="23" spans="1:11" ht="15" customHeight="1" x14ac:dyDescent="0.25">
      <c r="A23" s="304"/>
      <c r="B23" s="291"/>
      <c r="C23" s="311"/>
      <c r="D23" s="311"/>
      <c r="E23" s="311"/>
      <c r="F23" s="306"/>
    </row>
    <row r="24" spans="1:11" ht="24" customHeight="1" x14ac:dyDescent="0.3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5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5">
      <c r="A26" s="304">
        <v>2</v>
      </c>
      <c r="B26" s="305" t="s">
        <v>29</v>
      </c>
      <c r="C26" s="22">
        <v>7618664</v>
      </c>
      <c r="D26" s="22">
        <v>8516675</v>
      </c>
      <c r="E26" s="22">
        <f>D26-C26</f>
        <v>898011</v>
      </c>
      <c r="F26" s="306">
        <f>IF(C26=0,0,E26/C26)</f>
        <v>0.11786987849838239</v>
      </c>
      <c r="H26" s="314"/>
      <c r="I26" s="315"/>
      <c r="J26" s="315"/>
      <c r="K26" s="316"/>
    </row>
    <row r="27" spans="1:11" ht="24" customHeight="1" x14ac:dyDescent="0.25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5">
      <c r="A28" s="304">
        <v>4</v>
      </c>
      <c r="B28" s="305" t="s">
        <v>31</v>
      </c>
      <c r="C28" s="22">
        <v>14443787</v>
      </c>
      <c r="D28" s="22">
        <v>15161456</v>
      </c>
      <c r="E28" s="22">
        <f>D28-C28</f>
        <v>717669</v>
      </c>
      <c r="F28" s="306">
        <f>IF(C28=0,0,E28/C28)</f>
        <v>4.968703844774227E-2</v>
      </c>
    </row>
    <row r="29" spans="1:11" ht="35.1" customHeight="1" x14ac:dyDescent="0.3">
      <c r="A29" s="307"/>
      <c r="B29" s="308" t="s">
        <v>32</v>
      </c>
      <c r="C29" s="309">
        <f>SUM(C25:C28)</f>
        <v>22062451</v>
      </c>
      <c r="D29" s="309">
        <f>SUM(D25:D28)</f>
        <v>23678131</v>
      </c>
      <c r="E29" s="309">
        <f>D29-C29</f>
        <v>1615680</v>
      </c>
      <c r="F29" s="310">
        <f>IF(C29=0,0,E29/C29)</f>
        <v>7.3232117320056592E-2</v>
      </c>
    </row>
    <row r="30" spans="1:11" ht="15" customHeight="1" x14ac:dyDescent="0.25">
      <c r="A30" s="304"/>
      <c r="B30" s="291"/>
      <c r="C30" s="311"/>
      <c r="D30" s="311"/>
      <c r="E30" s="311"/>
      <c r="F30" s="306"/>
    </row>
    <row r="31" spans="1:11" ht="15" customHeight="1" x14ac:dyDescent="0.25">
      <c r="A31" s="304">
        <v>5</v>
      </c>
      <c r="B31" s="305" t="s">
        <v>33</v>
      </c>
      <c r="C31" s="22">
        <v>1834813</v>
      </c>
      <c r="D31" s="22">
        <v>1639056</v>
      </c>
      <c r="E31" s="22">
        <f>D31-C31</f>
        <v>-195757</v>
      </c>
      <c r="F31" s="306">
        <f>IF(C31=0,0,E31/C31)</f>
        <v>-0.10669043657310036</v>
      </c>
    </row>
    <row r="32" spans="1:11" ht="24" customHeight="1" x14ac:dyDescent="0.25">
      <c r="A32" s="304">
        <v>6</v>
      </c>
      <c r="B32" s="305" t="s">
        <v>34</v>
      </c>
      <c r="C32" s="22">
        <v>6496418</v>
      </c>
      <c r="D32" s="22">
        <v>7693291</v>
      </c>
      <c r="E32" s="22">
        <f>D32-C32</f>
        <v>1196873</v>
      </c>
      <c r="F32" s="306">
        <f>IF(C32=0,0,E32/C32)</f>
        <v>0.18423583580982628</v>
      </c>
    </row>
    <row r="33" spans="1:8" ht="24" customHeight="1" x14ac:dyDescent="0.25">
      <c r="A33" s="304">
        <v>7</v>
      </c>
      <c r="B33" s="305" t="s">
        <v>35</v>
      </c>
      <c r="C33" s="22">
        <v>1934263</v>
      </c>
      <c r="D33" s="22">
        <v>1498285</v>
      </c>
      <c r="E33" s="22">
        <f>D33-C33</f>
        <v>-435978</v>
      </c>
      <c r="F33" s="306">
        <f>IF(C33=0,0,E33/C33)</f>
        <v>-0.22539747697184923</v>
      </c>
    </row>
    <row r="34" spans="1:8" ht="15" customHeight="1" x14ac:dyDescent="0.25">
      <c r="A34" s="304"/>
      <c r="B34" s="291"/>
      <c r="C34" s="311"/>
      <c r="D34" s="311"/>
      <c r="E34" s="311"/>
      <c r="F34" s="306"/>
    </row>
    <row r="35" spans="1:8" ht="24" customHeight="1" x14ac:dyDescent="0.3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5">
      <c r="A36" s="304">
        <v>1</v>
      </c>
      <c r="B36" s="305" t="s">
        <v>38</v>
      </c>
      <c r="C36" s="22">
        <v>180313829</v>
      </c>
      <c r="D36" s="22">
        <v>184406271</v>
      </c>
      <c r="E36" s="22">
        <f>D36-C36</f>
        <v>4092442</v>
      </c>
      <c r="F36" s="306">
        <f>IF(C36=0,0,E36/C36)</f>
        <v>2.2696218158619438E-2</v>
      </c>
    </row>
    <row r="37" spans="1:8" ht="24" customHeight="1" x14ac:dyDescent="0.25">
      <c r="A37" s="304">
        <v>2</v>
      </c>
      <c r="B37" s="305" t="s">
        <v>39</v>
      </c>
      <c r="C37" s="22">
        <v>137121924</v>
      </c>
      <c r="D37" s="22">
        <v>144343866</v>
      </c>
      <c r="E37" s="22">
        <f>D37-C37</f>
        <v>7221942</v>
      </c>
      <c r="F37" s="22">
        <f>IF(C37=0,0,E37/C37)</f>
        <v>5.2668032866866714E-2</v>
      </c>
    </row>
    <row r="38" spans="1:8" ht="24" customHeight="1" x14ac:dyDescent="0.3">
      <c r="A38" s="307"/>
      <c r="B38" s="308" t="s">
        <v>40</v>
      </c>
      <c r="C38" s="309">
        <f>C36-C37</f>
        <v>43191905</v>
      </c>
      <c r="D38" s="309">
        <f>D36-D37</f>
        <v>40062405</v>
      </c>
      <c r="E38" s="309">
        <f>D38-C38</f>
        <v>-3129500</v>
      </c>
      <c r="F38" s="310">
        <f>IF(C38=0,0,E38/C38)</f>
        <v>-7.2455706688556568E-2</v>
      </c>
    </row>
    <row r="39" spans="1:8" ht="15" customHeight="1" x14ac:dyDescent="0.25">
      <c r="A39" s="304"/>
      <c r="B39" s="291"/>
      <c r="C39" s="311"/>
      <c r="D39" s="311"/>
      <c r="E39" s="311"/>
      <c r="F39" s="306"/>
    </row>
    <row r="40" spans="1:8" ht="24" customHeight="1" x14ac:dyDescent="0.25">
      <c r="A40" s="304">
        <v>3</v>
      </c>
      <c r="B40" s="305" t="s">
        <v>41</v>
      </c>
      <c r="C40" s="22">
        <v>635138</v>
      </c>
      <c r="D40" s="22">
        <v>680180</v>
      </c>
      <c r="E40" s="22">
        <f>D40-C40</f>
        <v>45042</v>
      </c>
      <c r="F40" s="306">
        <f>IF(C40=0,0,E40/C40)</f>
        <v>7.0916871609004659E-2</v>
      </c>
    </row>
    <row r="41" spans="1:8" ht="24" customHeight="1" x14ac:dyDescent="0.3">
      <c r="A41" s="307"/>
      <c r="B41" s="308" t="s">
        <v>42</v>
      </c>
      <c r="C41" s="309">
        <f>+C38+C40</f>
        <v>43827043</v>
      </c>
      <c r="D41" s="309">
        <f>+D38+D40</f>
        <v>40742585</v>
      </c>
      <c r="E41" s="309">
        <f>D41-C41</f>
        <v>-3084458</v>
      </c>
      <c r="F41" s="310">
        <f>IF(C41=0,0,E41/C41)</f>
        <v>-7.0377962756921569E-2</v>
      </c>
    </row>
    <row r="42" spans="1:8" ht="24" customHeight="1" x14ac:dyDescent="0.25">
      <c r="A42" s="304"/>
      <c r="B42" s="305"/>
      <c r="C42" s="311"/>
      <c r="D42" s="311"/>
      <c r="E42" s="311"/>
      <c r="F42" s="306"/>
    </row>
    <row r="43" spans="1:8" ht="24" customHeight="1" x14ac:dyDescent="0.3">
      <c r="A43" s="307"/>
      <c r="B43" s="308" t="s">
        <v>43</v>
      </c>
      <c r="C43" s="309">
        <f>C22+C29+C31+C32+C33+C41</f>
        <v>123022010</v>
      </c>
      <c r="D43" s="309">
        <f>D22+D29+D31+D32+D33+D41</f>
        <v>120948462</v>
      </c>
      <c r="E43" s="309">
        <f>D43-C43</f>
        <v>-2073548</v>
      </c>
      <c r="F43" s="310">
        <f>IF(C43=0,0,E43/C43)</f>
        <v>-1.6855097717879915E-2</v>
      </c>
    </row>
    <row r="44" spans="1:8" ht="15.75" customHeight="1" x14ac:dyDescent="0.3">
      <c r="A44" s="317"/>
      <c r="B44" s="289"/>
      <c r="C44" s="36"/>
      <c r="D44" s="36"/>
      <c r="E44" s="37"/>
      <c r="F44" s="291"/>
    </row>
    <row r="45" spans="1:8" s="293" customFormat="1" ht="15.75" customHeight="1" x14ac:dyDescent="0.3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3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3">
      <c r="A47" s="18"/>
      <c r="B47" s="294"/>
      <c r="C47" s="39"/>
      <c r="D47" s="39"/>
      <c r="E47" s="40"/>
      <c r="F47" s="18"/>
    </row>
    <row r="48" spans="1:8" ht="15.75" customHeight="1" x14ac:dyDescent="0.3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5">
      <c r="A49" s="304">
        <v>1</v>
      </c>
      <c r="B49" s="305" t="s">
        <v>47</v>
      </c>
      <c r="C49" s="22">
        <v>13044663</v>
      </c>
      <c r="D49" s="22">
        <v>13201162</v>
      </c>
      <c r="E49" s="22">
        <f t="shared" ref="E49:E56" si="2">D49-C49</f>
        <v>156499</v>
      </c>
      <c r="F49" s="306">
        <f t="shared" ref="F49:F56" si="3">IF(C49=0,0,E49/C49)</f>
        <v>1.1997166963991328E-2</v>
      </c>
    </row>
    <row r="50" spans="1:6" ht="24" customHeight="1" x14ac:dyDescent="0.25">
      <c r="A50" s="304">
        <f t="shared" ref="A50:A55" si="4">1+A49</f>
        <v>2</v>
      </c>
      <c r="B50" s="305" t="s">
        <v>48</v>
      </c>
      <c r="C50" s="22">
        <v>10002062</v>
      </c>
      <c r="D50" s="22">
        <v>6810036</v>
      </c>
      <c r="E50" s="22">
        <f t="shared" si="2"/>
        <v>-3192026</v>
      </c>
      <c r="F50" s="306">
        <f t="shared" si="3"/>
        <v>-0.31913679399307865</v>
      </c>
    </row>
    <row r="51" spans="1:6" ht="24" customHeight="1" x14ac:dyDescent="0.25">
      <c r="A51" s="304">
        <f t="shared" si="4"/>
        <v>3</v>
      </c>
      <c r="B51" s="305" t="s">
        <v>49</v>
      </c>
      <c r="C51" s="22">
        <v>1130211</v>
      </c>
      <c r="D51" s="22">
        <v>1976385</v>
      </c>
      <c r="E51" s="22">
        <f t="shared" si="2"/>
        <v>846174</v>
      </c>
      <c r="F51" s="306">
        <f t="shared" si="3"/>
        <v>0.7486867496423234</v>
      </c>
    </row>
    <row r="52" spans="1:6" ht="24" customHeight="1" x14ac:dyDescent="0.25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5">
      <c r="A53" s="304">
        <f t="shared" si="4"/>
        <v>5</v>
      </c>
      <c r="B53" s="305" t="s">
        <v>51</v>
      </c>
      <c r="C53" s="22">
        <v>1290670</v>
      </c>
      <c r="D53" s="22">
        <v>1342385</v>
      </c>
      <c r="E53" s="22">
        <f t="shared" si="2"/>
        <v>51715</v>
      </c>
      <c r="F53" s="306">
        <f t="shared" si="3"/>
        <v>4.0068336600370354E-2</v>
      </c>
    </row>
    <row r="54" spans="1:6" ht="24" customHeight="1" x14ac:dyDescent="0.25">
      <c r="A54" s="304">
        <f t="shared" si="4"/>
        <v>6</v>
      </c>
      <c r="B54" s="305" t="s">
        <v>52</v>
      </c>
      <c r="C54" s="22">
        <v>109090</v>
      </c>
      <c r="D54" s="22">
        <v>109555</v>
      </c>
      <c r="E54" s="22">
        <f t="shared" si="2"/>
        <v>465</v>
      </c>
      <c r="F54" s="306">
        <f t="shared" si="3"/>
        <v>4.2625355211293424E-3</v>
      </c>
    </row>
    <row r="55" spans="1:6" ht="24" customHeight="1" x14ac:dyDescent="0.25">
      <c r="A55" s="304">
        <f t="shared" si="4"/>
        <v>7</v>
      </c>
      <c r="B55" s="305" t="s">
        <v>53</v>
      </c>
      <c r="C55" s="22">
        <v>2550293</v>
      </c>
      <c r="D55" s="22">
        <v>1918293</v>
      </c>
      <c r="E55" s="22">
        <f t="shared" si="2"/>
        <v>-632000</v>
      </c>
      <c r="F55" s="306">
        <f t="shared" si="3"/>
        <v>-0.24781466286422776</v>
      </c>
    </row>
    <row r="56" spans="1:6" ht="24" customHeight="1" x14ac:dyDescent="0.3">
      <c r="A56" s="307"/>
      <c r="B56" s="308" t="s">
        <v>54</v>
      </c>
      <c r="C56" s="309">
        <f>SUM(C49:C55)</f>
        <v>28126989</v>
      </c>
      <c r="D56" s="309">
        <f>SUM(D49:D55)</f>
        <v>25357816</v>
      </c>
      <c r="E56" s="309">
        <f t="shared" si="2"/>
        <v>-2769173</v>
      </c>
      <c r="F56" s="310">
        <f t="shared" si="3"/>
        <v>-9.8452521882096938E-2</v>
      </c>
    </row>
    <row r="57" spans="1:6" ht="24" customHeight="1" x14ac:dyDescent="0.3">
      <c r="A57" s="304"/>
      <c r="B57" s="308"/>
      <c r="C57" s="42"/>
      <c r="D57" s="42"/>
      <c r="E57" s="42"/>
      <c r="F57" s="310"/>
    </row>
    <row r="58" spans="1:6" ht="15.75" customHeight="1" x14ac:dyDescent="0.3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5">
      <c r="A59" s="304">
        <v>1</v>
      </c>
      <c r="B59" s="305" t="s">
        <v>56</v>
      </c>
      <c r="C59" s="22">
        <v>27223996</v>
      </c>
      <c r="D59" s="22">
        <v>25239695</v>
      </c>
      <c r="E59" s="22">
        <f>D59-C59</f>
        <v>-1984301</v>
      </c>
      <c r="F59" s="306">
        <f>IF(C59=0,0,E59/C59)</f>
        <v>-7.2887940477217236E-2</v>
      </c>
    </row>
    <row r="60" spans="1:6" ht="24" customHeight="1" x14ac:dyDescent="0.25">
      <c r="A60" s="304">
        <v>2</v>
      </c>
      <c r="B60" s="305" t="s">
        <v>57</v>
      </c>
      <c r="C60" s="22">
        <v>464171</v>
      </c>
      <c r="D60" s="22">
        <v>354617</v>
      </c>
      <c r="E60" s="22">
        <f>D60-C60</f>
        <v>-109554</v>
      </c>
      <c r="F60" s="306">
        <f>IF(C60=0,0,E60/C60)</f>
        <v>-0.23602077682578188</v>
      </c>
    </row>
    <row r="61" spans="1:6" ht="24" customHeight="1" x14ac:dyDescent="0.3">
      <c r="A61" s="307"/>
      <c r="B61" s="308" t="s">
        <v>58</v>
      </c>
      <c r="C61" s="309">
        <f>SUM(C59:C60)</f>
        <v>27688167</v>
      </c>
      <c r="D61" s="309">
        <f>SUM(D59:D60)</f>
        <v>25594312</v>
      </c>
      <c r="E61" s="309">
        <f>D61-C61</f>
        <v>-2093855</v>
      </c>
      <c r="F61" s="310">
        <f>IF(C61=0,0,E61/C61)</f>
        <v>-7.562273804546181E-2</v>
      </c>
    </row>
    <row r="62" spans="1:6" ht="15" customHeight="1" x14ac:dyDescent="0.25">
      <c r="A62" s="304"/>
      <c r="B62" s="291"/>
      <c r="C62" s="311"/>
      <c r="D62" s="311"/>
      <c r="E62" s="311"/>
      <c r="F62" s="306"/>
    </row>
    <row r="63" spans="1:6" ht="24" customHeight="1" x14ac:dyDescent="0.25">
      <c r="A63" s="304">
        <v>3</v>
      </c>
      <c r="B63" s="305" t="s">
        <v>59</v>
      </c>
      <c r="C63" s="22">
        <v>32795767</v>
      </c>
      <c r="D63" s="22">
        <v>38325259</v>
      </c>
      <c r="E63" s="22">
        <f>D63-C63</f>
        <v>5529492</v>
      </c>
      <c r="F63" s="306">
        <f>IF(C63=0,0,E63/C63)</f>
        <v>0.16860383231775003</v>
      </c>
    </row>
    <row r="64" spans="1:6" ht="24" customHeight="1" x14ac:dyDescent="0.25">
      <c r="A64" s="304">
        <v>4</v>
      </c>
      <c r="B64" s="305" t="s">
        <v>60</v>
      </c>
      <c r="C64" s="22">
        <v>11515267</v>
      </c>
      <c r="D64" s="22">
        <v>12228216</v>
      </c>
      <c r="E64" s="22">
        <f>D64-C64</f>
        <v>712949</v>
      </c>
      <c r="F64" s="306">
        <f>IF(C64=0,0,E64/C64)</f>
        <v>6.1913371179322198E-2</v>
      </c>
    </row>
    <row r="65" spans="1:6" ht="24" customHeight="1" x14ac:dyDescent="0.3">
      <c r="A65" s="307"/>
      <c r="B65" s="308" t="s">
        <v>61</v>
      </c>
      <c r="C65" s="309">
        <f>SUM(C61:C64)</f>
        <v>71999201</v>
      </c>
      <c r="D65" s="309">
        <f>SUM(D61:D64)</f>
        <v>76147787</v>
      </c>
      <c r="E65" s="309">
        <f>D65-C65</f>
        <v>4148586</v>
      </c>
      <c r="F65" s="310">
        <f>IF(C65=0,0,E65/C65)</f>
        <v>5.7619889420717323E-2</v>
      </c>
    </row>
    <row r="66" spans="1:6" ht="24" customHeight="1" x14ac:dyDescent="0.25">
      <c r="B66" s="291"/>
      <c r="C66" s="311"/>
      <c r="D66" s="311"/>
      <c r="E66" s="311"/>
      <c r="F66" s="306"/>
    </row>
    <row r="67" spans="1:6" s="322" customFormat="1" ht="35.1" customHeight="1" x14ac:dyDescent="0.25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5">
      <c r="B68" s="291"/>
      <c r="C68" s="311"/>
      <c r="D68" s="311"/>
      <c r="E68" s="311"/>
      <c r="F68" s="306"/>
    </row>
    <row r="69" spans="1:6" ht="15.75" customHeight="1" x14ac:dyDescent="0.3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5">
      <c r="A70" s="304">
        <v>1</v>
      </c>
      <c r="B70" s="305" t="s">
        <v>64</v>
      </c>
      <c r="C70" s="22">
        <v>12974320</v>
      </c>
      <c r="D70" s="22">
        <v>9388599</v>
      </c>
      <c r="E70" s="22">
        <f>D70-C70</f>
        <v>-3585721</v>
      </c>
      <c r="F70" s="306">
        <f>IF(C70=0,0,E70/C70)</f>
        <v>-0.27637063059952277</v>
      </c>
    </row>
    <row r="71" spans="1:6" ht="24" customHeight="1" x14ac:dyDescent="0.25">
      <c r="A71" s="304">
        <v>2</v>
      </c>
      <c r="B71" s="305" t="s">
        <v>65</v>
      </c>
      <c r="C71" s="22">
        <v>3131129</v>
      </c>
      <c r="D71" s="22">
        <v>3157414</v>
      </c>
      <c r="E71" s="22">
        <f>D71-C71</f>
        <v>26285</v>
      </c>
      <c r="F71" s="306">
        <f>IF(C71=0,0,E71/C71)</f>
        <v>8.394735573015356E-3</v>
      </c>
    </row>
    <row r="72" spans="1:6" ht="24" customHeight="1" x14ac:dyDescent="0.25">
      <c r="A72" s="304">
        <v>3</v>
      </c>
      <c r="B72" s="305" t="s">
        <v>66</v>
      </c>
      <c r="C72" s="22">
        <v>6790371</v>
      </c>
      <c r="D72" s="22">
        <v>6896846</v>
      </c>
      <c r="E72" s="22">
        <f>D72-C72</f>
        <v>106475</v>
      </c>
      <c r="F72" s="306">
        <f>IF(C72=0,0,E72/C72)</f>
        <v>1.5680291989936927E-2</v>
      </c>
    </row>
    <row r="73" spans="1:6" ht="24" customHeight="1" x14ac:dyDescent="0.3">
      <c r="A73" s="304"/>
      <c r="B73" s="308" t="s">
        <v>67</v>
      </c>
      <c r="C73" s="309">
        <f>SUM(C70:C72)</f>
        <v>22895820</v>
      </c>
      <c r="D73" s="309">
        <f>SUM(D70:D72)</f>
        <v>19442859</v>
      </c>
      <c r="E73" s="309">
        <f>D73-C73</f>
        <v>-3452961</v>
      </c>
      <c r="F73" s="310">
        <f>IF(C73=0,0,E73/C73)</f>
        <v>-0.15081185124620999</v>
      </c>
    </row>
    <row r="74" spans="1:6" ht="24" customHeight="1" x14ac:dyDescent="0.3">
      <c r="B74" s="308"/>
      <c r="C74" s="311"/>
      <c r="D74" s="311"/>
      <c r="E74" s="311"/>
      <c r="F74" s="306"/>
    </row>
    <row r="75" spans="1:6" ht="15.75" customHeight="1" x14ac:dyDescent="0.3">
      <c r="A75" s="304"/>
      <c r="B75" s="308" t="s">
        <v>68</v>
      </c>
      <c r="C75" s="309">
        <f>C56+C65+C67+C73</f>
        <v>123022010</v>
      </c>
      <c r="D75" s="309">
        <f>D56+D65+D67+D73</f>
        <v>120948462</v>
      </c>
      <c r="E75" s="309">
        <f>D75-C75</f>
        <v>-2073548</v>
      </c>
      <c r="F75" s="310">
        <f>IF(C75=0,0,E75/C75)</f>
        <v>-1.6855097717879915E-2</v>
      </c>
    </row>
    <row r="76" spans="1:6" ht="24" customHeight="1" x14ac:dyDescent="0.3">
      <c r="B76" s="308"/>
      <c r="C76" s="42"/>
      <c r="D76" s="42"/>
      <c r="E76" s="42"/>
      <c r="F76" s="310"/>
    </row>
    <row r="77" spans="1:6" ht="24" customHeight="1" x14ac:dyDescent="0.3">
      <c r="A77" s="312"/>
      <c r="B77" s="47"/>
      <c r="C77" s="309"/>
      <c r="D77" s="309"/>
      <c r="E77" s="309"/>
      <c r="F77" s="310"/>
    </row>
    <row r="78" spans="1:6" ht="24" customHeight="1" x14ac:dyDescent="0.3">
      <c r="A78" s="304"/>
      <c r="B78" s="50"/>
      <c r="C78" s="49"/>
      <c r="D78" s="49"/>
      <c r="E78" s="49"/>
      <c r="F78" s="310"/>
    </row>
    <row r="79" spans="1:6" ht="47.25" customHeight="1" x14ac:dyDescent="0.3">
      <c r="A79" s="304"/>
      <c r="B79" s="50"/>
      <c r="C79" s="323"/>
      <c r="D79" s="323"/>
      <c r="E79" s="324"/>
      <c r="F79" s="310"/>
    </row>
    <row r="80" spans="1:6" ht="24" customHeight="1" x14ac:dyDescent="0.3">
      <c r="A80" s="304"/>
      <c r="B80" s="308"/>
      <c r="C80" s="309"/>
      <c r="D80" s="309"/>
      <c r="E80" s="325"/>
      <c r="F80" s="310"/>
    </row>
    <row r="81" spans="1:6" ht="24" customHeight="1" x14ac:dyDescent="0.3">
      <c r="A81" s="304"/>
      <c r="B81" s="308"/>
      <c r="C81" s="309"/>
      <c r="D81" s="309"/>
      <c r="E81" s="325"/>
      <c r="F81" s="310"/>
    </row>
    <row r="82" spans="1:6" ht="24" customHeight="1" x14ac:dyDescent="0.25">
      <c r="A82" s="304"/>
      <c r="B82" s="304"/>
      <c r="C82" s="326"/>
      <c r="D82" s="291"/>
      <c r="E82" s="291"/>
      <c r="F82" s="291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293"/>
      <c r="H100" s="298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293"/>
      <c r="H118" s="298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293"/>
      <c r="H128" s="298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1" fitToHeight="0" orientation="portrait" r:id="rId1"/>
  <headerFooter>
    <oddHeader>&amp;LOFFICE OF HEALTH CARE ACCESS&amp;CTWELVE MONTHS ACTUAL FILING&amp;RBRISTOL HOSPITAL &amp; HEALTH CARE GROUP,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sqref="A1:F1"/>
    </sheetView>
  </sheetViews>
  <sheetFormatPr defaultColWidth="9.109375" defaultRowHeight="23.1" customHeight="1" x14ac:dyDescent="0.25"/>
  <cols>
    <col min="1" max="1" width="6.6640625" style="56" customWidth="1"/>
    <col min="2" max="2" width="53.44140625" style="56" customWidth="1"/>
    <col min="3" max="4" width="18.88671875" style="56" customWidth="1"/>
    <col min="5" max="6" width="18.88671875" style="225" customWidth="1"/>
    <col min="7" max="7" width="12.6640625" style="56" customWidth="1"/>
    <col min="8" max="16384" width="9.109375" style="56"/>
  </cols>
  <sheetData>
    <row r="1" spans="1:7" ht="23.1" customHeight="1" x14ac:dyDescent="0.3">
      <c r="A1" s="766" t="s">
        <v>500</v>
      </c>
      <c r="B1" s="767"/>
      <c r="C1" s="767"/>
      <c r="D1" s="767"/>
      <c r="E1" s="767"/>
      <c r="F1" s="768"/>
    </row>
    <row r="2" spans="1:7" ht="23.1" customHeight="1" x14ac:dyDescent="0.3">
      <c r="A2" s="766" t="s">
        <v>1</v>
      </c>
      <c r="B2" s="767"/>
      <c r="C2" s="767"/>
      <c r="D2" s="767"/>
      <c r="E2" s="767"/>
      <c r="F2" s="768"/>
    </row>
    <row r="3" spans="1:7" ht="23.1" customHeight="1" x14ac:dyDescent="0.3">
      <c r="A3" s="766" t="s">
        <v>314</v>
      </c>
      <c r="B3" s="767"/>
      <c r="C3" s="767"/>
      <c r="D3" s="767"/>
      <c r="E3" s="767"/>
      <c r="F3" s="768"/>
    </row>
    <row r="4" spans="1:7" ht="23.1" customHeight="1" x14ac:dyDescent="0.3">
      <c r="A4" s="766" t="s">
        <v>502</v>
      </c>
      <c r="B4" s="767"/>
      <c r="C4" s="767"/>
      <c r="D4" s="767"/>
      <c r="E4" s="767"/>
      <c r="F4" s="768"/>
    </row>
    <row r="5" spans="1:7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3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5">
      <c r="A8" s="70"/>
      <c r="B8" s="70"/>
      <c r="C8" s="70"/>
      <c r="D8" s="70"/>
      <c r="E8" s="222"/>
      <c r="F8" s="222"/>
    </row>
    <row r="9" spans="1:7" ht="15.75" customHeight="1" x14ac:dyDescent="0.3">
      <c r="A9" s="71"/>
      <c r="B9" s="72"/>
      <c r="C9" s="68"/>
      <c r="D9" s="68"/>
      <c r="E9" s="73"/>
      <c r="F9" s="73"/>
    </row>
    <row r="10" spans="1:7" ht="15.75" customHeight="1" x14ac:dyDescent="0.3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5">
      <c r="A11" s="74">
        <v>1</v>
      </c>
      <c r="B11" s="75" t="s">
        <v>71</v>
      </c>
      <c r="C11" s="76">
        <v>506080946</v>
      </c>
      <c r="D11" s="76">
        <v>538069506</v>
      </c>
      <c r="E11" s="76">
        <f t="shared" ref="E11:E20" si="0">D11-C11</f>
        <v>31988560</v>
      </c>
      <c r="F11" s="77">
        <f t="shared" ref="F11:F20" si="1">IF(C11=0,0,E11/C11)</f>
        <v>6.3208386430735133E-2</v>
      </c>
    </row>
    <row r="12" spans="1:7" ht="23.1" customHeight="1" x14ac:dyDescent="0.25">
      <c r="A12" s="74">
        <v>2</v>
      </c>
      <c r="B12" s="75" t="s">
        <v>72</v>
      </c>
      <c r="C12" s="76">
        <v>332363425</v>
      </c>
      <c r="D12" s="76">
        <v>361081224</v>
      </c>
      <c r="E12" s="76">
        <f t="shared" si="0"/>
        <v>28717799</v>
      </c>
      <c r="F12" s="77">
        <f t="shared" si="1"/>
        <v>8.6404811239383511E-2</v>
      </c>
    </row>
    <row r="13" spans="1:7" ht="23.1" customHeight="1" x14ac:dyDescent="0.25">
      <c r="A13" s="74">
        <v>3</v>
      </c>
      <c r="B13" s="75" t="s">
        <v>73</v>
      </c>
      <c r="C13" s="76">
        <v>4092111</v>
      </c>
      <c r="D13" s="76">
        <v>4120176</v>
      </c>
      <c r="E13" s="76">
        <f t="shared" si="0"/>
        <v>28065</v>
      </c>
      <c r="F13" s="77">
        <f t="shared" si="1"/>
        <v>6.8583183593993414E-3</v>
      </c>
    </row>
    <row r="14" spans="1:7" ht="23.1" customHeight="1" x14ac:dyDescent="0.25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3">
      <c r="A15" s="71"/>
      <c r="B15" s="78" t="s">
        <v>75</v>
      </c>
      <c r="C15" s="79">
        <f>C11-C12-C13-C14</f>
        <v>169625410</v>
      </c>
      <c r="D15" s="79">
        <f>D11-D12-D13-D14</f>
        <v>172868106</v>
      </c>
      <c r="E15" s="79">
        <f t="shared" si="0"/>
        <v>3242696</v>
      </c>
      <c r="F15" s="80">
        <f t="shared" si="1"/>
        <v>1.9116805671980396E-2</v>
      </c>
    </row>
    <row r="16" spans="1:7" ht="23.1" customHeight="1" x14ac:dyDescent="0.25">
      <c r="A16" s="74">
        <v>5</v>
      </c>
      <c r="B16" s="75" t="s">
        <v>76</v>
      </c>
      <c r="C16" s="76">
        <v>3515959</v>
      </c>
      <c r="D16" s="76">
        <v>3444413</v>
      </c>
      <c r="E16" s="76">
        <f t="shared" si="0"/>
        <v>-71546</v>
      </c>
      <c r="F16" s="77">
        <f t="shared" si="1"/>
        <v>-2.0348928983529104E-2</v>
      </c>
      <c r="G16" s="65"/>
    </row>
    <row r="17" spans="1:7" ht="31.5" customHeight="1" x14ac:dyDescent="0.3">
      <c r="A17" s="71"/>
      <c r="B17" s="81" t="s">
        <v>77</v>
      </c>
      <c r="C17" s="79">
        <f>C15-C16</f>
        <v>166109451</v>
      </c>
      <c r="D17" s="79">
        <f>D15-D16</f>
        <v>169423693</v>
      </c>
      <c r="E17" s="79">
        <f t="shared" si="0"/>
        <v>3314242</v>
      </c>
      <c r="F17" s="80">
        <f t="shared" si="1"/>
        <v>1.9952157929894066E-2</v>
      </c>
    </row>
    <row r="18" spans="1:7" ht="23.1" customHeight="1" x14ac:dyDescent="0.25">
      <c r="A18" s="74">
        <v>6</v>
      </c>
      <c r="B18" s="75" t="s">
        <v>78</v>
      </c>
      <c r="C18" s="76">
        <v>6317978</v>
      </c>
      <c r="D18" s="76">
        <v>5919418</v>
      </c>
      <c r="E18" s="76">
        <f t="shared" si="0"/>
        <v>-398560</v>
      </c>
      <c r="F18" s="77">
        <f t="shared" si="1"/>
        <v>-6.3083473858250222E-2</v>
      </c>
      <c r="G18" s="65"/>
    </row>
    <row r="19" spans="1:7" ht="33" customHeight="1" x14ac:dyDescent="0.25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3">
      <c r="A20" s="71"/>
      <c r="B20" s="78" t="s">
        <v>80</v>
      </c>
      <c r="C20" s="79">
        <f>SUM(C17:C19)</f>
        <v>172427429</v>
      </c>
      <c r="D20" s="79">
        <f>SUM(D17:D19)</f>
        <v>175343111</v>
      </c>
      <c r="E20" s="79">
        <f t="shared" si="0"/>
        <v>2915682</v>
      </c>
      <c r="F20" s="80">
        <f t="shared" si="1"/>
        <v>1.690961824873002E-2</v>
      </c>
    </row>
    <row r="21" spans="1:7" ht="15.75" customHeight="1" x14ac:dyDescent="0.3">
      <c r="A21" s="74"/>
      <c r="B21" s="78"/>
      <c r="C21" s="76"/>
      <c r="D21" s="76"/>
      <c r="E21" s="76"/>
      <c r="F21" s="77"/>
    </row>
    <row r="22" spans="1:7" ht="23.1" customHeight="1" x14ac:dyDescent="0.3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5">
      <c r="A23" s="74">
        <v>1</v>
      </c>
      <c r="B23" s="75" t="s">
        <v>82</v>
      </c>
      <c r="C23" s="76">
        <v>82861130</v>
      </c>
      <c r="D23" s="76">
        <v>89365446</v>
      </c>
      <c r="E23" s="76">
        <f t="shared" ref="E23:E32" si="2">D23-C23</f>
        <v>6504316</v>
      </c>
      <c r="F23" s="77">
        <f t="shared" ref="F23:F32" si="3">IF(C23=0,0,E23/C23)</f>
        <v>7.8496588207281268E-2</v>
      </c>
    </row>
    <row r="24" spans="1:7" ht="23.1" customHeight="1" x14ac:dyDescent="0.25">
      <c r="A24" s="74">
        <v>2</v>
      </c>
      <c r="B24" s="75" t="s">
        <v>83</v>
      </c>
      <c r="C24" s="76">
        <v>17998233</v>
      </c>
      <c r="D24" s="76">
        <v>18153035</v>
      </c>
      <c r="E24" s="76">
        <f t="shared" si="2"/>
        <v>154802</v>
      </c>
      <c r="F24" s="77">
        <f t="shared" si="3"/>
        <v>8.6009554382366314E-3</v>
      </c>
    </row>
    <row r="25" spans="1:7" ht="23.1" customHeight="1" x14ac:dyDescent="0.25">
      <c r="A25" s="74">
        <v>3</v>
      </c>
      <c r="B25" s="75" t="s">
        <v>84</v>
      </c>
      <c r="C25" s="76">
        <v>12846687</v>
      </c>
      <c r="D25" s="76">
        <v>15127528</v>
      </c>
      <c r="E25" s="76">
        <f t="shared" si="2"/>
        <v>2280841</v>
      </c>
      <c r="F25" s="77">
        <f t="shared" si="3"/>
        <v>0.17754312843459175</v>
      </c>
      <c r="G25" s="65"/>
    </row>
    <row r="26" spans="1:7" ht="23.1" customHeight="1" x14ac:dyDescent="0.25">
      <c r="A26" s="74">
        <v>4</v>
      </c>
      <c r="B26" s="75" t="s">
        <v>85</v>
      </c>
      <c r="C26" s="76">
        <v>27638010</v>
      </c>
      <c r="D26" s="76">
        <v>21403622</v>
      </c>
      <c r="E26" s="76">
        <f t="shared" si="2"/>
        <v>-6234388</v>
      </c>
      <c r="F26" s="77">
        <f t="shared" si="3"/>
        <v>-0.22557296997866344</v>
      </c>
    </row>
    <row r="27" spans="1:7" ht="23.1" customHeight="1" x14ac:dyDescent="0.25">
      <c r="A27" s="74">
        <v>5</v>
      </c>
      <c r="B27" s="75" t="s">
        <v>86</v>
      </c>
      <c r="C27" s="76">
        <v>7959616</v>
      </c>
      <c r="D27" s="76">
        <v>7588527</v>
      </c>
      <c r="E27" s="76">
        <f t="shared" si="2"/>
        <v>-371089</v>
      </c>
      <c r="F27" s="77">
        <f t="shared" si="3"/>
        <v>-4.6621470181476089E-2</v>
      </c>
    </row>
    <row r="28" spans="1:7" ht="23.1" customHeight="1" x14ac:dyDescent="0.25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5">
      <c r="A29" s="74">
        <v>7</v>
      </c>
      <c r="B29" s="75" t="s">
        <v>88</v>
      </c>
      <c r="C29" s="76">
        <v>1506976</v>
      </c>
      <c r="D29" s="76">
        <v>1198465</v>
      </c>
      <c r="E29" s="76">
        <f t="shared" si="2"/>
        <v>-308511</v>
      </c>
      <c r="F29" s="77">
        <f t="shared" si="3"/>
        <v>-0.20472190665279341</v>
      </c>
    </row>
    <row r="30" spans="1:7" ht="23.1" customHeight="1" x14ac:dyDescent="0.25">
      <c r="A30" s="74">
        <v>8</v>
      </c>
      <c r="B30" s="75" t="s">
        <v>89</v>
      </c>
      <c r="C30" s="76">
        <v>1839763</v>
      </c>
      <c r="D30" s="76">
        <v>2049050</v>
      </c>
      <c r="E30" s="76">
        <f t="shared" si="2"/>
        <v>209287</v>
      </c>
      <c r="F30" s="77">
        <f t="shared" si="3"/>
        <v>0.11375758725444528</v>
      </c>
    </row>
    <row r="31" spans="1:7" ht="23.1" customHeight="1" x14ac:dyDescent="0.25">
      <c r="A31" s="74">
        <v>9</v>
      </c>
      <c r="B31" s="75" t="s">
        <v>90</v>
      </c>
      <c r="C31" s="76">
        <v>19689673</v>
      </c>
      <c r="D31" s="76">
        <v>21950166</v>
      </c>
      <c r="E31" s="76">
        <f t="shared" si="2"/>
        <v>2260493</v>
      </c>
      <c r="F31" s="77">
        <f t="shared" si="3"/>
        <v>0.11480602039454896</v>
      </c>
    </row>
    <row r="32" spans="1:7" ht="23.1" customHeight="1" x14ac:dyDescent="0.3">
      <c r="A32" s="71"/>
      <c r="B32" s="78" t="s">
        <v>91</v>
      </c>
      <c r="C32" s="79">
        <f>SUM(C23:C31)</f>
        <v>172340088</v>
      </c>
      <c r="D32" s="79">
        <f>SUM(D23:D31)</f>
        <v>176835839</v>
      </c>
      <c r="E32" s="79">
        <f t="shared" si="2"/>
        <v>4495751</v>
      </c>
      <c r="F32" s="80">
        <f t="shared" si="3"/>
        <v>2.608650751066113E-2</v>
      </c>
    </row>
    <row r="33" spans="1:6" ht="15" customHeight="1" x14ac:dyDescent="0.25">
      <c r="A33" s="74"/>
      <c r="B33" s="67"/>
      <c r="C33" s="76"/>
      <c r="D33" s="76"/>
      <c r="E33" s="76"/>
      <c r="F33" s="77"/>
    </row>
    <row r="34" spans="1:6" ht="23.1" customHeight="1" x14ac:dyDescent="0.3">
      <c r="A34" s="83"/>
      <c r="B34" s="78" t="s">
        <v>92</v>
      </c>
      <c r="C34" s="79">
        <f>+C20-C32</f>
        <v>87341</v>
      </c>
      <c r="D34" s="79">
        <f>+D20-D32</f>
        <v>-1492728</v>
      </c>
      <c r="E34" s="79">
        <f>D34-C34</f>
        <v>-1580069</v>
      </c>
      <c r="F34" s="80">
        <f>IF(C34=0,0,E34/C34)</f>
        <v>-18.090805005667441</v>
      </c>
    </row>
    <row r="35" spans="1:6" ht="15.75" customHeight="1" x14ac:dyDescent="0.3">
      <c r="A35" s="84"/>
      <c r="B35" s="78"/>
      <c r="C35" s="76"/>
      <c r="D35" s="76"/>
      <c r="E35" s="76"/>
      <c r="F35" s="77"/>
    </row>
    <row r="36" spans="1:6" ht="15.75" customHeight="1" x14ac:dyDescent="0.3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5">
      <c r="A37" s="85">
        <v>1</v>
      </c>
      <c r="B37" s="75" t="s">
        <v>94</v>
      </c>
      <c r="C37" s="76">
        <v>839289</v>
      </c>
      <c r="D37" s="76">
        <v>1139203</v>
      </c>
      <c r="E37" s="76">
        <f>D37-C37</f>
        <v>299914</v>
      </c>
      <c r="F37" s="77">
        <f>IF(C37=0,0,E37/C37)</f>
        <v>0.35734294146593126</v>
      </c>
    </row>
    <row r="38" spans="1:6" ht="23.1" customHeight="1" x14ac:dyDescent="0.25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5">
      <c r="A39" s="85">
        <v>3</v>
      </c>
      <c r="B39" s="75" t="s">
        <v>96</v>
      </c>
      <c r="C39" s="76">
        <v>157754</v>
      </c>
      <c r="D39" s="76">
        <v>165731</v>
      </c>
      <c r="E39" s="76">
        <f>D39-C39</f>
        <v>7977</v>
      </c>
      <c r="F39" s="77">
        <f>IF(C39=0,0,E39/C39)</f>
        <v>5.056607122481839E-2</v>
      </c>
    </row>
    <row r="40" spans="1:6" ht="23.1" customHeight="1" x14ac:dyDescent="0.3">
      <c r="A40" s="83"/>
      <c r="B40" s="78" t="s">
        <v>97</v>
      </c>
      <c r="C40" s="79">
        <f>SUM(C37:C39)</f>
        <v>997043</v>
      </c>
      <c r="D40" s="79">
        <f>SUM(D37:D39)</f>
        <v>1304934</v>
      </c>
      <c r="E40" s="79">
        <f>D40-C40</f>
        <v>307891</v>
      </c>
      <c r="F40" s="80">
        <f>IF(C40=0,0,E40/C40)</f>
        <v>0.30880413382371674</v>
      </c>
    </row>
    <row r="41" spans="1:6" ht="15.75" customHeight="1" x14ac:dyDescent="0.3">
      <c r="A41" s="85"/>
      <c r="B41" s="78"/>
      <c r="C41" s="86"/>
      <c r="D41" s="86"/>
      <c r="E41" s="86"/>
      <c r="F41" s="80"/>
    </row>
    <row r="42" spans="1:6" ht="33" customHeight="1" x14ac:dyDescent="0.3">
      <c r="A42" s="83"/>
      <c r="B42" s="81" t="s">
        <v>503</v>
      </c>
      <c r="C42" s="79">
        <f>C34+C40</f>
        <v>1084384</v>
      </c>
      <c r="D42" s="79">
        <f>D34+D40</f>
        <v>-187794</v>
      </c>
      <c r="E42" s="79">
        <f>D42-C42</f>
        <v>-1272178</v>
      </c>
      <c r="F42" s="80">
        <f>IF(C42=0,0,E42/C42)</f>
        <v>-1.1731803493965238</v>
      </c>
    </row>
    <row r="43" spans="1:6" ht="15.75" customHeight="1" x14ac:dyDescent="0.3">
      <c r="A43" s="85"/>
      <c r="B43" s="78"/>
      <c r="C43" s="79"/>
      <c r="D43" s="79"/>
      <c r="E43" s="88"/>
      <c r="F43" s="80"/>
    </row>
    <row r="44" spans="1:6" ht="23.1" customHeight="1" x14ac:dyDescent="0.3">
      <c r="A44" s="83"/>
      <c r="B44" s="81" t="s">
        <v>99</v>
      </c>
      <c r="C44" s="86"/>
      <c r="D44" s="86"/>
      <c r="E44" s="86"/>
      <c r="F44" s="80"/>
    </row>
    <row r="45" spans="1:6" ht="23.1" customHeight="1" x14ac:dyDescent="0.25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5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3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3">
      <c r="A48" s="85"/>
      <c r="B48" s="78"/>
      <c r="C48" s="79"/>
      <c r="D48" s="79"/>
      <c r="E48" s="88"/>
      <c r="F48" s="80"/>
    </row>
    <row r="49" spans="1:6" ht="23.1" customHeight="1" x14ac:dyDescent="0.3">
      <c r="A49" s="83"/>
      <c r="B49" s="81" t="s">
        <v>103</v>
      </c>
      <c r="C49" s="79">
        <f>C42+C47</f>
        <v>1084384</v>
      </c>
      <c r="D49" s="79">
        <f>D42+D47</f>
        <v>-187794</v>
      </c>
      <c r="E49" s="79">
        <f>D49-C49</f>
        <v>-1272178</v>
      </c>
      <c r="F49" s="80">
        <f>IF(C49=0,0,E49/C49)</f>
        <v>-1.1731803493965238</v>
      </c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5" fitToHeight="0" orientation="portrait" r:id="rId1"/>
  <headerFooter>
    <oddHeader>&amp;LOFFICE OF HEALTH CARE ACCESS&amp;CTWELVE MONTHS ACTUAL FILING&amp;RBRISTOL HOSPITAL &amp; HEALTH CARE GROUP, INC.</oddHeader>
    <oddFooter>&amp;LREPORT 300&amp;CPAGE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Veyberman, Alla</cp:lastModifiedBy>
  <cp:lastPrinted>2017-09-19T15:55:50Z</cp:lastPrinted>
  <dcterms:created xsi:type="dcterms:W3CDTF">2017-09-14T18:58:55Z</dcterms:created>
  <dcterms:modified xsi:type="dcterms:W3CDTF">2017-09-19T15:55:54Z</dcterms:modified>
</cp:coreProperties>
</file>