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1570" windowHeight="8910" activeTab="1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D92" i="22"/>
  <c r="C92" i="22"/>
  <c r="E91" i="22"/>
  <c r="D91" i="22"/>
  <c r="D93" i="22" s="1"/>
  <c r="C91" i="22"/>
  <c r="E87" i="22"/>
  <c r="D87" i="22"/>
  <c r="C87" i="22"/>
  <c r="E86" i="22"/>
  <c r="D86" i="22"/>
  <c r="C86" i="22"/>
  <c r="C88" i="22" s="1"/>
  <c r="E83" i="22"/>
  <c r="E101" i="22" s="1"/>
  <c r="D83" i="22"/>
  <c r="C83" i="22"/>
  <c r="E76" i="22"/>
  <c r="D76" i="22"/>
  <c r="C76" i="22"/>
  <c r="C102" i="22"/>
  <c r="E75" i="22"/>
  <c r="D75" i="22"/>
  <c r="C75" i="22"/>
  <c r="C77" i="22" s="1"/>
  <c r="C109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D34" i="22"/>
  <c r="C12" i="22"/>
  <c r="C33" i="22"/>
  <c r="D21" i="21"/>
  <c r="E21" i="21"/>
  <c r="F21" i="21" s="1"/>
  <c r="C21" i="21"/>
  <c r="D19" i="21"/>
  <c r="E19" i="21" s="1"/>
  <c r="F19" i="21" s="1"/>
  <c r="C19" i="21"/>
  <c r="E17" i="21"/>
  <c r="F17" i="21" s="1"/>
  <c r="E15" i="21"/>
  <c r="F15" i="21" s="1"/>
  <c r="D45" i="20"/>
  <c r="C45" i="20"/>
  <c r="C46" i="20" s="1"/>
  <c r="D44" i="20"/>
  <c r="E44" i="20" s="1"/>
  <c r="F44" i="20" s="1"/>
  <c r="C44" i="20"/>
  <c r="D43" i="20"/>
  <c r="C43" i="20"/>
  <c r="D36" i="20"/>
  <c r="D40" i="20" s="1"/>
  <c r="C36" i="20"/>
  <c r="E35" i="20"/>
  <c r="F35" i="20" s="1"/>
  <c r="E34" i="20"/>
  <c r="E33" i="20"/>
  <c r="F33" i="20" s="1"/>
  <c r="E30" i="20"/>
  <c r="F30" i="20" s="1"/>
  <c r="E29" i="20"/>
  <c r="F29" i="20" s="1"/>
  <c r="E28" i="20"/>
  <c r="F28" i="20"/>
  <c r="E27" i="20"/>
  <c r="F27" i="20" s="1"/>
  <c r="D25" i="20"/>
  <c r="D39" i="20" s="1"/>
  <c r="C25" i="20"/>
  <c r="C39" i="20" s="1"/>
  <c r="E24" i="20"/>
  <c r="F24" i="20" s="1"/>
  <c r="E23" i="20"/>
  <c r="E22" i="20"/>
  <c r="F22" i="20" s="1"/>
  <c r="D19" i="20"/>
  <c r="C19" i="20"/>
  <c r="E18" i="20"/>
  <c r="F18" i="20"/>
  <c r="D16" i="20"/>
  <c r="C16" i="20"/>
  <c r="E15" i="20"/>
  <c r="F15" i="20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65" i="19" s="1"/>
  <c r="C114" i="19" s="1"/>
  <c r="C116" i="19" s="1"/>
  <c r="C119" i="19" s="1"/>
  <c r="C123" i="19" s="1"/>
  <c r="C36" i="19"/>
  <c r="C32" i="19"/>
  <c r="C21" i="19"/>
  <c r="C22" i="19" s="1"/>
  <c r="E328" i="18"/>
  <c r="E325" i="18"/>
  <c r="D324" i="18"/>
  <c r="C324" i="18"/>
  <c r="C326" i="18"/>
  <c r="C330" i="18" s="1"/>
  <c r="E318" i="18"/>
  <c r="E315" i="18"/>
  <c r="D314" i="18"/>
  <c r="D316" i="18" s="1"/>
  <c r="D320" i="18" s="1"/>
  <c r="C314" i="18"/>
  <c r="C316" i="18"/>
  <c r="C320" i="18" s="1"/>
  <c r="E308" i="18"/>
  <c r="E305" i="18"/>
  <c r="D301" i="18"/>
  <c r="C301" i="18"/>
  <c r="D293" i="18"/>
  <c r="C293" i="18"/>
  <c r="D292" i="18"/>
  <c r="E292" i="18"/>
  <c r="C292" i="18"/>
  <c r="D291" i="18"/>
  <c r="E291" i="18" s="1"/>
  <c r="C291" i="18"/>
  <c r="D290" i="18"/>
  <c r="C290" i="18"/>
  <c r="D288" i="18"/>
  <c r="C288" i="18"/>
  <c r="D287" i="18"/>
  <c r="E287" i="18" s="1"/>
  <c r="C287" i="18"/>
  <c r="D282" i="18"/>
  <c r="C282" i="18"/>
  <c r="D281" i="18"/>
  <c r="E281" i="18" s="1"/>
  <c r="C281" i="18"/>
  <c r="D280" i="18"/>
  <c r="C280" i="18"/>
  <c r="D279" i="18"/>
  <c r="C279" i="18"/>
  <c r="D278" i="18"/>
  <c r="E278" i="18"/>
  <c r="C278" i="18"/>
  <c r="D277" i="18"/>
  <c r="C277" i="18"/>
  <c r="D276" i="18"/>
  <c r="E276" i="18" s="1"/>
  <c r="C276" i="18"/>
  <c r="E270" i="18"/>
  <c r="D265" i="18"/>
  <c r="D302" i="18" s="1"/>
  <c r="C265" i="18"/>
  <c r="C302" i="18" s="1"/>
  <c r="E302" i="18" s="1"/>
  <c r="D262" i="18"/>
  <c r="C262" i="18"/>
  <c r="C261" i="18"/>
  <c r="D251" i="18"/>
  <c r="C251" i="18"/>
  <c r="D233" i="18"/>
  <c r="E233" i="18"/>
  <c r="C233" i="18"/>
  <c r="D232" i="18"/>
  <c r="C232" i="18"/>
  <c r="E232" i="18"/>
  <c r="D231" i="18"/>
  <c r="C231" i="18"/>
  <c r="D230" i="18"/>
  <c r="C230" i="18"/>
  <c r="D228" i="18"/>
  <c r="C228" i="18"/>
  <c r="E228" i="18"/>
  <c r="D227" i="18"/>
  <c r="E227" i="18" s="1"/>
  <c r="C227" i="18"/>
  <c r="D221" i="18"/>
  <c r="D245" i="18" s="1"/>
  <c r="C221" i="18"/>
  <c r="C245" i="18"/>
  <c r="E245" i="18" s="1"/>
  <c r="D220" i="18"/>
  <c r="C220" i="18"/>
  <c r="D219" i="18"/>
  <c r="C219" i="18"/>
  <c r="C243" i="18" s="1"/>
  <c r="D218" i="18"/>
  <c r="D242" i="18" s="1"/>
  <c r="C218" i="18"/>
  <c r="D216" i="18"/>
  <c r="C216" i="18"/>
  <c r="C240" i="18" s="1"/>
  <c r="D215" i="18"/>
  <c r="C215" i="18"/>
  <c r="C239" i="18" s="1"/>
  <c r="E209" i="18"/>
  <c r="E208" i="18"/>
  <c r="E207" i="18"/>
  <c r="E206" i="18"/>
  <c r="D205" i="18"/>
  <c r="C205" i="18"/>
  <c r="C210" i="18" s="1"/>
  <c r="C229" i="18"/>
  <c r="E204" i="18"/>
  <c r="E203" i="18"/>
  <c r="E197" i="18"/>
  <c r="E196" i="18"/>
  <c r="D195" i="18"/>
  <c r="D260" i="18" s="1"/>
  <c r="C195" i="18"/>
  <c r="E194" i="18"/>
  <c r="E193" i="18"/>
  <c r="E192" i="18"/>
  <c r="E191" i="18"/>
  <c r="E190" i="18"/>
  <c r="D188" i="18"/>
  <c r="E188" i="18" s="1"/>
  <c r="C188" i="18"/>
  <c r="C189" i="18" s="1"/>
  <c r="E186" i="18"/>
  <c r="E185" i="18"/>
  <c r="D179" i="18"/>
  <c r="E179" i="18" s="1"/>
  <c r="C179" i="18"/>
  <c r="D178" i="18"/>
  <c r="E178" i="18" s="1"/>
  <c r="C178" i="18"/>
  <c r="D177" i="18"/>
  <c r="E177" i="18" s="1"/>
  <c r="C177" i="18"/>
  <c r="D176" i="18"/>
  <c r="C176" i="18"/>
  <c r="D174" i="18"/>
  <c r="E174" i="18" s="1"/>
  <c r="C174" i="18"/>
  <c r="D173" i="18"/>
  <c r="C173" i="18"/>
  <c r="E173" i="18" s="1"/>
  <c r="D167" i="18"/>
  <c r="E167" i="18" s="1"/>
  <c r="C167" i="18"/>
  <c r="D166" i="18"/>
  <c r="E166" i="18" s="1"/>
  <c r="C166" i="18"/>
  <c r="D165" i="18"/>
  <c r="C165" i="18"/>
  <c r="E165" i="18" s="1"/>
  <c r="D164" i="18"/>
  <c r="C164" i="18"/>
  <c r="E164" i="18"/>
  <c r="D162" i="18"/>
  <c r="C162" i="18"/>
  <c r="D161" i="18"/>
  <c r="E161" i="18" s="1"/>
  <c r="C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C139" i="18"/>
  <c r="C163" i="18"/>
  <c r="E138" i="18"/>
  <c r="E137" i="18"/>
  <c r="D75" i="18"/>
  <c r="C75" i="18"/>
  <c r="E75" i="18" s="1"/>
  <c r="D74" i="18"/>
  <c r="C74" i="18"/>
  <c r="D73" i="18"/>
  <c r="C73" i="18"/>
  <c r="D72" i="18"/>
  <c r="C72" i="18"/>
  <c r="E72" i="18" s="1"/>
  <c r="D70" i="18"/>
  <c r="D76" i="18" s="1"/>
  <c r="C70" i="18"/>
  <c r="D69" i="18"/>
  <c r="C69" i="18"/>
  <c r="C65" i="18"/>
  <c r="E64" i="18"/>
  <c r="E63" i="18"/>
  <c r="E62" i="18"/>
  <c r="E61" i="18"/>
  <c r="D60" i="18"/>
  <c r="D289" i="18" s="1"/>
  <c r="C60" i="18"/>
  <c r="E59" i="18"/>
  <c r="E58" i="18"/>
  <c r="D54" i="18"/>
  <c r="D55" i="18" s="1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C41" i="18"/>
  <c r="D40" i="18"/>
  <c r="C40" i="18"/>
  <c r="E40" i="18" s="1"/>
  <c r="D39" i="18"/>
  <c r="C39" i="18"/>
  <c r="D38" i="18"/>
  <c r="D43" i="18" s="1"/>
  <c r="E38" i="18"/>
  <c r="C38" i="18"/>
  <c r="D37" i="18"/>
  <c r="C37" i="18"/>
  <c r="C43" i="18" s="1"/>
  <c r="D36" i="18"/>
  <c r="C36" i="18"/>
  <c r="C33" i="18"/>
  <c r="D32" i="18"/>
  <c r="E32" i="18" s="1"/>
  <c r="C32" i="18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F330" i="17"/>
  <c r="E330" i="17"/>
  <c r="F329" i="17"/>
  <c r="E329" i="17"/>
  <c r="F316" i="17"/>
  <c r="E316" i="17"/>
  <c r="F311" i="17"/>
  <c r="D311" i="17"/>
  <c r="E311" i="17" s="1"/>
  <c r="C311" i="17"/>
  <c r="F308" i="17"/>
  <c r="E308" i="17"/>
  <c r="D307" i="17"/>
  <c r="E307" i="17" s="1"/>
  <c r="F307" i="17" s="1"/>
  <c r="C307" i="17"/>
  <c r="D299" i="17"/>
  <c r="E299" i="17" s="1"/>
  <c r="F299" i="17" s="1"/>
  <c r="C299" i="17"/>
  <c r="D298" i="17"/>
  <c r="C298" i="17"/>
  <c r="D297" i="17"/>
  <c r="C297" i="17"/>
  <c r="D296" i="17"/>
  <c r="E296" i="17" s="1"/>
  <c r="C296" i="17"/>
  <c r="D295" i="17"/>
  <c r="E295" i="17" s="1"/>
  <c r="F295" i="17" s="1"/>
  <c r="C295" i="17"/>
  <c r="D294" i="17"/>
  <c r="E294" i="17" s="1"/>
  <c r="F294" i="17" s="1"/>
  <c r="C294" i="17"/>
  <c r="D250" i="17"/>
  <c r="C250" i="17"/>
  <c r="C306" i="17" s="1"/>
  <c r="E249" i="17"/>
  <c r="F249" i="17" s="1"/>
  <c r="E248" i="17"/>
  <c r="F248" i="17" s="1"/>
  <c r="F245" i="17"/>
  <c r="E245" i="17"/>
  <c r="F244" i="17"/>
  <c r="E244" i="17"/>
  <c r="E243" i="17"/>
  <c r="F243" i="17" s="1"/>
  <c r="D238" i="17"/>
  <c r="E238" i="17"/>
  <c r="C238" i="17"/>
  <c r="D237" i="17"/>
  <c r="C237" i="17"/>
  <c r="E234" i="17"/>
  <c r="F234" i="17" s="1"/>
  <c r="E233" i="17"/>
  <c r="F233" i="17" s="1"/>
  <c r="D230" i="17"/>
  <c r="C230" i="17"/>
  <c r="D229" i="17"/>
  <c r="C229" i="17"/>
  <c r="E228" i="17"/>
  <c r="F228" i="17" s="1"/>
  <c r="D226" i="17"/>
  <c r="D227" i="17" s="1"/>
  <c r="E227" i="17"/>
  <c r="C226" i="17"/>
  <c r="C227" i="17" s="1"/>
  <c r="E225" i="17"/>
  <c r="F225" i="17" s="1"/>
  <c r="E224" i="17"/>
  <c r="F224" i="17"/>
  <c r="D223" i="17"/>
  <c r="C223" i="17"/>
  <c r="E222" i="17"/>
  <c r="F222" i="17" s="1"/>
  <c r="E221" i="17"/>
  <c r="F221" i="17" s="1"/>
  <c r="D204" i="17"/>
  <c r="D205" i="17" s="1"/>
  <c r="C204" i="17"/>
  <c r="D203" i="17"/>
  <c r="C203" i="17"/>
  <c r="C283" i="17" s="1"/>
  <c r="D198" i="17"/>
  <c r="E198" i="17"/>
  <c r="F198" i="17" s="1"/>
  <c r="C198" i="17"/>
  <c r="D191" i="17"/>
  <c r="D280" i="17"/>
  <c r="C191" i="17"/>
  <c r="D189" i="17"/>
  <c r="D278" i="17" s="1"/>
  <c r="C189" i="17"/>
  <c r="D188" i="17"/>
  <c r="D277" i="17"/>
  <c r="E277" i="17" s="1"/>
  <c r="C188" i="17"/>
  <c r="C277" i="17"/>
  <c r="D180" i="17"/>
  <c r="C180" i="17"/>
  <c r="D179" i="17"/>
  <c r="C179" i="17"/>
  <c r="C181" i="17" s="1"/>
  <c r="D171" i="17"/>
  <c r="E171" i="17"/>
  <c r="F171" i="17" s="1"/>
  <c r="C171" i="17"/>
  <c r="C172" i="17"/>
  <c r="C173" i="17" s="1"/>
  <c r="D170" i="17"/>
  <c r="E170" i="17" s="1"/>
  <c r="F170" i="17" s="1"/>
  <c r="C170" i="17"/>
  <c r="E169" i="17"/>
  <c r="F169" i="17" s="1"/>
  <c r="E168" i="17"/>
  <c r="F168" i="17"/>
  <c r="D165" i="17"/>
  <c r="C165" i="17"/>
  <c r="D164" i="17"/>
  <c r="C164" i="17"/>
  <c r="E163" i="17"/>
  <c r="F163" i="17" s="1"/>
  <c r="D158" i="17"/>
  <c r="D159" i="17" s="1"/>
  <c r="C158" i="17"/>
  <c r="C192" i="17" s="1"/>
  <c r="E157" i="17"/>
  <c r="F157" i="17" s="1"/>
  <c r="E156" i="17"/>
  <c r="F156" i="17" s="1"/>
  <c r="D155" i="17"/>
  <c r="E155" i="17" s="1"/>
  <c r="C155" i="17"/>
  <c r="E154" i="17"/>
  <c r="F154" i="17" s="1"/>
  <c r="E153" i="17"/>
  <c r="F153" i="17"/>
  <c r="D145" i="17"/>
  <c r="C145" i="17"/>
  <c r="D144" i="17"/>
  <c r="C144" i="17"/>
  <c r="C146" i="17"/>
  <c r="D136" i="17"/>
  <c r="D137" i="17" s="1"/>
  <c r="D138" i="17" s="1"/>
  <c r="C136" i="17"/>
  <c r="C137" i="17" s="1"/>
  <c r="D135" i="17"/>
  <c r="C135" i="17"/>
  <c r="E134" i="17"/>
  <c r="F134" i="17" s="1"/>
  <c r="E133" i="17"/>
  <c r="F133" i="17" s="1"/>
  <c r="D130" i="17"/>
  <c r="E130" i="17" s="1"/>
  <c r="C130" i="17"/>
  <c r="D129" i="17"/>
  <c r="E129" i="17" s="1"/>
  <c r="C129" i="17"/>
  <c r="E128" i="17"/>
  <c r="F128" i="17" s="1"/>
  <c r="D123" i="17"/>
  <c r="C123" i="17"/>
  <c r="E122" i="17"/>
  <c r="F122" i="17"/>
  <c r="E121" i="17"/>
  <c r="F121" i="17"/>
  <c r="D120" i="17"/>
  <c r="E120" i="17"/>
  <c r="F120" i="17" s="1"/>
  <c r="C120" i="17"/>
  <c r="E119" i="17"/>
  <c r="F119" i="17" s="1"/>
  <c r="E118" i="17"/>
  <c r="F118" i="17"/>
  <c r="D110" i="17"/>
  <c r="E110" i="17"/>
  <c r="C110" i="17"/>
  <c r="D109" i="17"/>
  <c r="C109" i="17"/>
  <c r="C111" i="17" s="1"/>
  <c r="D101" i="17"/>
  <c r="C101" i="17"/>
  <c r="D100" i="17"/>
  <c r="C100" i="17"/>
  <c r="F99" i="17"/>
  <c r="E99" i="17"/>
  <c r="E98" i="17"/>
  <c r="F98" i="17" s="1"/>
  <c r="D95" i="17"/>
  <c r="E95" i="17" s="1"/>
  <c r="F95" i="17" s="1"/>
  <c r="C95" i="17"/>
  <c r="D94" i="17"/>
  <c r="C94" i="17"/>
  <c r="E93" i="17"/>
  <c r="F93" i="17" s="1"/>
  <c r="D88" i="17"/>
  <c r="C88" i="17"/>
  <c r="C89" i="17"/>
  <c r="E87" i="17"/>
  <c r="F87" i="17" s="1"/>
  <c r="E86" i="17"/>
  <c r="F86" i="17" s="1"/>
  <c r="D85" i="17"/>
  <c r="C85" i="17"/>
  <c r="F84" i="17"/>
  <c r="E84" i="17"/>
  <c r="E83" i="17"/>
  <c r="F83" i="17" s="1"/>
  <c r="D76" i="17"/>
  <c r="C76" i="17"/>
  <c r="C77" i="17"/>
  <c r="E74" i="17"/>
  <c r="F74" i="17"/>
  <c r="E73" i="17"/>
  <c r="F73" i="17" s="1"/>
  <c r="D67" i="17"/>
  <c r="C67" i="17"/>
  <c r="D66" i="17"/>
  <c r="D68" i="17"/>
  <c r="E68" i="17" s="1"/>
  <c r="F68" i="17" s="1"/>
  <c r="C66" i="17"/>
  <c r="D59" i="17"/>
  <c r="D60" i="17" s="1"/>
  <c r="D61" i="17" s="1"/>
  <c r="D104" i="17" s="1"/>
  <c r="C59" i="17"/>
  <c r="D58" i="17"/>
  <c r="C58" i="17"/>
  <c r="E57" i="17"/>
  <c r="F57" i="17" s="1"/>
  <c r="E56" i="17"/>
  <c r="F56" i="17"/>
  <c r="D53" i="17"/>
  <c r="E53" i="17" s="1"/>
  <c r="C53" i="17"/>
  <c r="D52" i="17"/>
  <c r="C52" i="17"/>
  <c r="E51" i="17"/>
  <c r="F51" i="17"/>
  <c r="D47" i="17"/>
  <c r="E47" i="17" s="1"/>
  <c r="D48" i="17"/>
  <c r="D160" i="17" s="1"/>
  <c r="C47" i="17"/>
  <c r="E46" i="17"/>
  <c r="F46" i="17"/>
  <c r="E45" i="17"/>
  <c r="F45" i="17" s="1"/>
  <c r="D44" i="17"/>
  <c r="C44" i="17"/>
  <c r="E43" i="17"/>
  <c r="F43" i="17" s="1"/>
  <c r="E42" i="17"/>
  <c r="F42" i="17" s="1"/>
  <c r="D36" i="17"/>
  <c r="C36" i="17"/>
  <c r="D35" i="17"/>
  <c r="C35" i="17"/>
  <c r="D30" i="17"/>
  <c r="D31" i="17"/>
  <c r="D32" i="17" s="1"/>
  <c r="C30" i="17"/>
  <c r="C31" i="17" s="1"/>
  <c r="D29" i="17"/>
  <c r="C29" i="17"/>
  <c r="E28" i="17"/>
  <c r="F28" i="17" s="1"/>
  <c r="E27" i="17"/>
  <c r="F27" i="17" s="1"/>
  <c r="D24" i="17"/>
  <c r="E24" i="17" s="1"/>
  <c r="C24" i="17"/>
  <c r="D23" i="17"/>
  <c r="E23" i="17" s="1"/>
  <c r="F23" i="17" s="1"/>
  <c r="C23" i="17"/>
  <c r="E22" i="17"/>
  <c r="F22" i="17" s="1"/>
  <c r="D20" i="17"/>
  <c r="C20" i="17"/>
  <c r="E19" i="17"/>
  <c r="F19" i="17" s="1"/>
  <c r="E18" i="17"/>
  <c r="F18" i="17" s="1"/>
  <c r="D17" i="17"/>
  <c r="E17" i="17" s="1"/>
  <c r="F17" i="17" s="1"/>
  <c r="C17" i="17"/>
  <c r="E16" i="17"/>
  <c r="F16" i="17" s="1"/>
  <c r="E15" i="17"/>
  <c r="F15" i="17" s="1"/>
  <c r="D21" i="16"/>
  <c r="C21" i="16"/>
  <c r="E21" i="16" s="1"/>
  <c r="F20" i="16"/>
  <c r="E20" i="16"/>
  <c r="D17" i="16"/>
  <c r="E17" i="16"/>
  <c r="C17" i="16"/>
  <c r="E16" i="16"/>
  <c r="F16" i="16" s="1"/>
  <c r="D13" i="16"/>
  <c r="C13" i="16"/>
  <c r="E12" i="16"/>
  <c r="F12" i="16" s="1"/>
  <c r="D107" i="15"/>
  <c r="C107" i="15"/>
  <c r="F106" i="15"/>
  <c r="E106" i="15"/>
  <c r="F105" i="15"/>
  <c r="E105" i="15"/>
  <c r="E104" i="15"/>
  <c r="F104" i="15" s="1"/>
  <c r="D100" i="15"/>
  <c r="C100" i="15"/>
  <c r="E99" i="15"/>
  <c r="F99" i="15" s="1"/>
  <c r="E98" i="15"/>
  <c r="F98" i="15" s="1"/>
  <c r="E97" i="15"/>
  <c r="F97" i="15" s="1"/>
  <c r="F96" i="15"/>
  <c r="E96" i="15"/>
  <c r="E95" i="15"/>
  <c r="F95" i="15" s="1"/>
  <c r="D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E84" i="15"/>
  <c r="F84" i="15" s="1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F69" i="15"/>
  <c r="E69" i="15"/>
  <c r="E68" i="15"/>
  <c r="F68" i="15" s="1"/>
  <c r="D65" i="15"/>
  <c r="C65" i="15"/>
  <c r="E64" i="15"/>
  <c r="F64" i="15" s="1"/>
  <c r="E63" i="15"/>
  <c r="F63" i="15" s="1"/>
  <c r="D60" i="15"/>
  <c r="C60" i="15"/>
  <c r="E59" i="15"/>
  <c r="E58" i="15"/>
  <c r="F58" i="15" s="1"/>
  <c r="D55" i="15"/>
  <c r="E55" i="15" s="1"/>
  <c r="C55" i="15"/>
  <c r="E54" i="15"/>
  <c r="F54" i="15" s="1"/>
  <c r="E53" i="15"/>
  <c r="F53" i="15" s="1"/>
  <c r="D50" i="15"/>
  <c r="C50" i="15"/>
  <c r="F49" i="15"/>
  <c r="E49" i="15"/>
  <c r="E48" i="15"/>
  <c r="F48" i="15" s="1"/>
  <c r="D45" i="15"/>
  <c r="C45" i="15"/>
  <c r="E44" i="15"/>
  <c r="F44" i="15" s="1"/>
  <c r="F43" i="15"/>
  <c r="E43" i="15"/>
  <c r="D37" i="15"/>
  <c r="C37" i="15"/>
  <c r="F36" i="15"/>
  <c r="E36" i="15"/>
  <c r="F35" i="15"/>
  <c r="E35" i="15"/>
  <c r="F34" i="15"/>
  <c r="E34" i="15"/>
  <c r="E33" i="15"/>
  <c r="F33" i="15" s="1"/>
  <c r="D30" i="15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E17" i="14"/>
  <c r="E31" i="14"/>
  <c r="D17" i="14"/>
  <c r="D31" i="14" s="1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 s="1"/>
  <c r="D77" i="13" s="1"/>
  <c r="C78" i="13"/>
  <c r="C80" i="13" s="1"/>
  <c r="C77" i="13" s="1"/>
  <c r="E73" i="13"/>
  <c r="E75" i="13" s="1"/>
  <c r="D73" i="13"/>
  <c r="D75" i="13"/>
  <c r="C73" i="13"/>
  <c r="C75" i="13" s="1"/>
  <c r="E71" i="13"/>
  <c r="D71" i="13"/>
  <c r="C71" i="13"/>
  <c r="E66" i="13"/>
  <c r="D66" i="13"/>
  <c r="C66" i="13"/>
  <c r="C65" i="13" s="1"/>
  <c r="E65" i="13"/>
  <c r="D65" i="13"/>
  <c r="E60" i="13"/>
  <c r="D60" i="13"/>
  <c r="C60" i="13"/>
  <c r="E58" i="13"/>
  <c r="D58" i="13"/>
  <c r="C58" i="13"/>
  <c r="E55" i="13"/>
  <c r="E50" i="13" s="1"/>
  <c r="D55" i="13"/>
  <c r="C55" i="13"/>
  <c r="C50" i="13" s="1"/>
  <c r="E54" i="13"/>
  <c r="D54" i="13"/>
  <c r="D50" i="13" s="1"/>
  <c r="C54" i="13"/>
  <c r="C48" i="13"/>
  <c r="E46" i="13"/>
  <c r="E59" i="13" s="1"/>
  <c r="D46" i="13"/>
  <c r="C46" i="13"/>
  <c r="C59" i="13" s="1"/>
  <c r="E45" i="13"/>
  <c r="D45" i="13"/>
  <c r="C45" i="13"/>
  <c r="C42" i="13"/>
  <c r="E38" i="13"/>
  <c r="D38" i="13"/>
  <c r="C38" i="13"/>
  <c r="E33" i="13"/>
  <c r="E34" i="13" s="1"/>
  <c r="D33" i="13"/>
  <c r="D34" i="13"/>
  <c r="E26" i="13"/>
  <c r="D26" i="13"/>
  <c r="C26" i="13"/>
  <c r="C27" i="13" s="1"/>
  <c r="E24" i="13"/>
  <c r="E13" i="13"/>
  <c r="E15" i="13" s="1"/>
  <c r="D13" i="13"/>
  <c r="C13" i="13"/>
  <c r="C25" i="13" s="1"/>
  <c r="D47" i="12"/>
  <c r="E47" i="12"/>
  <c r="C47" i="12"/>
  <c r="F47" i="12" s="1"/>
  <c r="F46" i="12"/>
  <c r="E46" i="12"/>
  <c r="F45" i="12"/>
  <c r="E45" i="12"/>
  <c r="D40" i="12"/>
  <c r="C40" i="12"/>
  <c r="F39" i="12"/>
  <c r="E39" i="12"/>
  <c r="E38" i="12"/>
  <c r="F38" i="12" s="1"/>
  <c r="E37" i="12"/>
  <c r="F37" i="12" s="1"/>
  <c r="D32" i="12"/>
  <c r="C32" i="12"/>
  <c r="E31" i="12"/>
  <c r="F31" i="12" s="1"/>
  <c r="E30" i="12"/>
  <c r="F30" i="12" s="1"/>
  <c r="F29" i="12"/>
  <c r="E29" i="12"/>
  <c r="F28" i="12"/>
  <c r="E28" i="12"/>
  <c r="F27" i="12"/>
  <c r="E27" i="12"/>
  <c r="E26" i="12"/>
  <c r="F26" i="12" s="1"/>
  <c r="F25" i="12"/>
  <c r="E25" i="12"/>
  <c r="E24" i="12"/>
  <c r="F24" i="12" s="1"/>
  <c r="F23" i="12"/>
  <c r="E23" i="12"/>
  <c r="F19" i="12"/>
  <c r="E19" i="12"/>
  <c r="F18" i="12"/>
  <c r="E18" i="12"/>
  <c r="E16" i="12"/>
  <c r="F16" i="12" s="1"/>
  <c r="D15" i="12"/>
  <c r="D17" i="12" s="1"/>
  <c r="C15" i="12"/>
  <c r="E14" i="12"/>
  <c r="F14" i="12" s="1"/>
  <c r="E13" i="12"/>
  <c r="F13" i="12" s="1"/>
  <c r="F12" i="12"/>
  <c r="E12" i="12"/>
  <c r="E11" i="12"/>
  <c r="F11" i="12" s="1"/>
  <c r="D73" i="11"/>
  <c r="E73" i="11" s="1"/>
  <c r="C73" i="11"/>
  <c r="E72" i="11"/>
  <c r="F72" i="11" s="1"/>
  <c r="E71" i="11"/>
  <c r="F71" i="11" s="1"/>
  <c r="F70" i="11"/>
  <c r="E70" i="11"/>
  <c r="F67" i="11"/>
  <c r="E67" i="11"/>
  <c r="F64" i="11"/>
  <c r="E64" i="11"/>
  <c r="E63" i="11"/>
  <c r="F63" i="11" s="1"/>
  <c r="D61" i="11"/>
  <c r="C61" i="11"/>
  <c r="C65" i="11" s="1"/>
  <c r="E60" i="11"/>
  <c r="F60" i="11" s="1"/>
  <c r="F59" i="11"/>
  <c r="E59" i="11"/>
  <c r="D56" i="11"/>
  <c r="E56" i="11"/>
  <c r="C56" i="11"/>
  <c r="C75" i="11" s="1"/>
  <c r="E55" i="11"/>
  <c r="F55" i="11" s="1"/>
  <c r="F54" i="11"/>
  <c r="E54" i="11"/>
  <c r="F53" i="11"/>
  <c r="E53" i="11"/>
  <c r="F52" i="11"/>
  <c r="E52" i="11"/>
  <c r="E51" i="11"/>
  <c r="F51" i="11" s="1"/>
  <c r="E50" i="11"/>
  <c r="F50" i="11"/>
  <c r="A50" i="11"/>
  <c r="A51" i="11" s="1"/>
  <c r="A52" i="11" s="1"/>
  <c r="A53" i="11" s="1"/>
  <c r="A54" i="11" s="1"/>
  <c r="A55" i="11" s="1"/>
  <c r="F49" i="11"/>
  <c r="E49" i="11"/>
  <c r="E40" i="11"/>
  <c r="F40" i="11" s="1"/>
  <c r="D38" i="11"/>
  <c r="C38" i="11"/>
  <c r="E37" i="11"/>
  <c r="F37" i="11" s="1"/>
  <c r="E36" i="11"/>
  <c r="F36" i="11" s="1"/>
  <c r="F33" i="11"/>
  <c r="E33" i="11"/>
  <c r="F32" i="11"/>
  <c r="E32" i="11"/>
  <c r="F31" i="11"/>
  <c r="E31" i="11"/>
  <c r="D29" i="11"/>
  <c r="C29" i="11"/>
  <c r="F28" i="11"/>
  <c r="E28" i="11"/>
  <c r="F27" i="11"/>
  <c r="E27" i="11"/>
  <c r="F26" i="11"/>
  <c r="E26" i="11"/>
  <c r="F25" i="11"/>
  <c r="E25" i="1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C120" i="10"/>
  <c r="F120" i="10" s="1"/>
  <c r="D119" i="10"/>
  <c r="C119" i="10"/>
  <c r="F119" i="10" s="1"/>
  <c r="D118" i="10"/>
  <c r="C118" i="10"/>
  <c r="E118" i="10" s="1"/>
  <c r="D117" i="10"/>
  <c r="E117" i="10" s="1"/>
  <c r="C117" i="10"/>
  <c r="F117" i="10" s="1"/>
  <c r="D116" i="10"/>
  <c r="C116" i="10"/>
  <c r="F116" i="10" s="1"/>
  <c r="D115" i="10"/>
  <c r="C115" i="10"/>
  <c r="F115" i="10" s="1"/>
  <c r="D114" i="10"/>
  <c r="E114" i="10" s="1"/>
  <c r="C114" i="10"/>
  <c r="F114" i="10" s="1"/>
  <c r="D113" i="10"/>
  <c r="C113" i="10"/>
  <c r="F113" i="10" s="1"/>
  <c r="D112" i="10"/>
  <c r="D121" i="10" s="1"/>
  <c r="E121" i="10" s="1"/>
  <c r="C112" i="10"/>
  <c r="C121" i="10" s="1"/>
  <c r="F121" i="10" s="1"/>
  <c r="F112" i="10"/>
  <c r="D108" i="10"/>
  <c r="C108" i="10"/>
  <c r="F108" i="10" s="1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E72" i="10" s="1"/>
  <c r="F72" i="10"/>
  <c r="D71" i="10"/>
  <c r="E71" i="10" s="1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E203" i="9" s="1"/>
  <c r="D202" i="9"/>
  <c r="C202" i="9"/>
  <c r="D201" i="9"/>
  <c r="C201" i="9"/>
  <c r="D200" i="9"/>
  <c r="C200" i="9"/>
  <c r="D199" i="9"/>
  <c r="D208" i="9"/>
  <c r="C199" i="9"/>
  <c r="E199" i="9" s="1"/>
  <c r="F199" i="9" s="1"/>
  <c r="D198" i="9"/>
  <c r="C198" i="9"/>
  <c r="D193" i="9"/>
  <c r="C193" i="9"/>
  <c r="D192" i="9"/>
  <c r="C192" i="9"/>
  <c r="E191" i="9"/>
  <c r="F191" i="9" s="1"/>
  <c r="E190" i="9"/>
  <c r="F190" i="9" s="1"/>
  <c r="E189" i="9"/>
  <c r="F189" i="9" s="1"/>
  <c r="E188" i="9"/>
  <c r="F188" i="9"/>
  <c r="E187" i="9"/>
  <c r="F187" i="9" s="1"/>
  <c r="E186" i="9"/>
  <c r="F186" i="9" s="1"/>
  <c r="E185" i="9"/>
  <c r="F185" i="9"/>
  <c r="E184" i="9"/>
  <c r="F184" i="9" s="1"/>
  <c r="E183" i="9"/>
  <c r="F183" i="9" s="1"/>
  <c r="D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C140" i="9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/>
  <c r="E131" i="9"/>
  <c r="F131" i="9" s="1"/>
  <c r="D128" i="9"/>
  <c r="C128" i="9"/>
  <c r="D127" i="9"/>
  <c r="E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E115" i="9" s="1"/>
  <c r="D114" i="9"/>
  <c r="C114" i="9"/>
  <c r="E113" i="9"/>
  <c r="F113" i="9" s="1"/>
  <c r="E112" i="9"/>
  <c r="F112" i="9" s="1"/>
  <c r="E111" i="9"/>
  <c r="F111" i="9" s="1"/>
  <c r="E110" i="9"/>
  <c r="F110" i="9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D101" i="9"/>
  <c r="C101" i="9"/>
  <c r="E100" i="9"/>
  <c r="F100" i="9" s="1"/>
  <c r="E99" i="9"/>
  <c r="F99" i="9" s="1"/>
  <c r="E98" i="9"/>
  <c r="F98" i="9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D89" i="9"/>
  <c r="E89" i="9" s="1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 s="1"/>
  <c r="C76" i="9"/>
  <c r="D75" i="9"/>
  <c r="C75" i="9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F63" i="9"/>
  <c r="D63" i="9"/>
  <c r="C63" i="9"/>
  <c r="D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F42" i="9"/>
  <c r="E42" i="9"/>
  <c r="E41" i="9"/>
  <c r="F41" i="9" s="1"/>
  <c r="E40" i="9"/>
  <c r="F40" i="9" s="1"/>
  <c r="D37" i="9"/>
  <c r="E37" i="9"/>
  <c r="C37" i="9"/>
  <c r="F37" i="9" s="1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 s="1"/>
  <c r="F23" i="9" s="1"/>
  <c r="C23" i="9"/>
  <c r="E22" i="9"/>
  <c r="F22" i="9" s="1"/>
  <c r="E21" i="9"/>
  <c r="F21" i="9" s="1"/>
  <c r="E20" i="9"/>
  <c r="F20" i="9" s="1"/>
  <c r="F19" i="9"/>
  <c r="E19" i="9"/>
  <c r="F18" i="9"/>
  <c r="E18" i="9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E166" i="8" s="1"/>
  <c r="E154" i="8" s="1"/>
  <c r="D164" i="8"/>
  <c r="D160" i="8" s="1"/>
  <c r="D166" i="8" s="1"/>
  <c r="C164" i="8"/>
  <c r="E162" i="8"/>
  <c r="D162" i="8"/>
  <c r="C162" i="8"/>
  <c r="E161" i="8"/>
  <c r="D161" i="8"/>
  <c r="C161" i="8"/>
  <c r="C160" i="8"/>
  <c r="C166" i="8" s="1"/>
  <c r="C153" i="8" s="1"/>
  <c r="E147" i="8"/>
  <c r="E143" i="8" s="1"/>
  <c r="D147" i="8"/>
  <c r="C147" i="8"/>
  <c r="C143" i="8" s="1"/>
  <c r="E145" i="8"/>
  <c r="D145" i="8"/>
  <c r="C145" i="8"/>
  <c r="E144" i="8"/>
  <c r="D144" i="8"/>
  <c r="C144" i="8"/>
  <c r="D143" i="8"/>
  <c r="E126" i="8"/>
  <c r="D126" i="8"/>
  <c r="C126" i="8"/>
  <c r="E119" i="8"/>
  <c r="D119" i="8"/>
  <c r="C119" i="8"/>
  <c r="E108" i="8"/>
  <c r="D108" i="8"/>
  <c r="C108" i="8"/>
  <c r="E107" i="8"/>
  <c r="E109" i="8"/>
  <c r="E106" i="8" s="1"/>
  <c r="D107" i="8"/>
  <c r="C107" i="8"/>
  <c r="C109" i="8" s="1"/>
  <c r="C106" i="8" s="1"/>
  <c r="E102" i="8"/>
  <c r="E104" i="8" s="1"/>
  <c r="D102" i="8"/>
  <c r="D104" i="8" s="1"/>
  <c r="C102" i="8"/>
  <c r="C104" i="8"/>
  <c r="E100" i="8"/>
  <c r="D100" i="8"/>
  <c r="C100" i="8"/>
  <c r="E95" i="8"/>
  <c r="E94" i="8" s="1"/>
  <c r="D95" i="8"/>
  <c r="C95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C79" i="8" s="1"/>
  <c r="E75" i="8"/>
  <c r="D75" i="8"/>
  <c r="D88" i="8" s="1"/>
  <c r="C75" i="8"/>
  <c r="E74" i="8"/>
  <c r="D74" i="8"/>
  <c r="C74" i="8"/>
  <c r="E67" i="8"/>
  <c r="D67" i="8"/>
  <c r="C67" i="8"/>
  <c r="E38" i="8"/>
  <c r="E57" i="8" s="1"/>
  <c r="E62" i="8"/>
  <c r="D38" i="8"/>
  <c r="D53" i="8" s="1"/>
  <c r="C38" i="8"/>
  <c r="C57" i="8" s="1"/>
  <c r="C62" i="8" s="1"/>
  <c r="E33" i="8"/>
  <c r="E34" i="8" s="1"/>
  <c r="D33" i="8"/>
  <c r="D34" i="8" s="1"/>
  <c r="E26" i="8"/>
  <c r="D26" i="8"/>
  <c r="C26" i="8"/>
  <c r="E13" i="8"/>
  <c r="E25" i="8"/>
  <c r="E27" i="8" s="1"/>
  <c r="D13" i="8"/>
  <c r="D25" i="8" s="1"/>
  <c r="C13" i="8"/>
  <c r="C25" i="8" s="1"/>
  <c r="F186" i="7"/>
  <c r="E186" i="7"/>
  <c r="D183" i="7"/>
  <c r="C183" i="7"/>
  <c r="C188" i="7"/>
  <c r="E188" i="7" s="1"/>
  <c r="F182" i="7"/>
  <c r="E182" i="7"/>
  <c r="E181" i="7"/>
  <c r="F181" i="7" s="1"/>
  <c r="F180" i="7"/>
  <c r="E180" i="7"/>
  <c r="E179" i="7"/>
  <c r="F179" i="7" s="1"/>
  <c r="E178" i="7"/>
  <c r="F178" i="7" s="1"/>
  <c r="E177" i="7"/>
  <c r="F177" i="7" s="1"/>
  <c r="F176" i="7"/>
  <c r="E176" i="7"/>
  <c r="F175" i="7"/>
  <c r="E175" i="7"/>
  <c r="F174" i="7"/>
  <c r="E174" i="7"/>
  <c r="E173" i="7"/>
  <c r="F173" i="7" s="1"/>
  <c r="F172" i="7"/>
  <c r="E172" i="7"/>
  <c r="E171" i="7"/>
  <c r="F171" i="7" s="1"/>
  <c r="E170" i="7"/>
  <c r="F170" i="7" s="1"/>
  <c r="D167" i="7"/>
  <c r="C167" i="7"/>
  <c r="E166" i="7"/>
  <c r="F166" i="7" s="1"/>
  <c r="F165" i="7"/>
  <c r="E165" i="7"/>
  <c r="F164" i="7"/>
  <c r="E164" i="7"/>
  <c r="E163" i="7"/>
  <c r="F163" i="7" s="1"/>
  <c r="F162" i="7"/>
  <c r="E162" i="7"/>
  <c r="E161" i="7"/>
  <c r="F161" i="7" s="1"/>
  <c r="F160" i="7"/>
  <c r="E160" i="7"/>
  <c r="F159" i="7"/>
  <c r="E159" i="7"/>
  <c r="E158" i="7"/>
  <c r="F158" i="7" s="1"/>
  <c r="E157" i="7"/>
  <c r="F157" i="7" s="1"/>
  <c r="F156" i="7"/>
  <c r="E156" i="7"/>
  <c r="F155" i="7"/>
  <c r="E155" i="7"/>
  <c r="F154" i="7"/>
  <c r="E154" i="7"/>
  <c r="E153" i="7"/>
  <c r="F153" i="7" s="1"/>
  <c r="F152" i="7"/>
  <c r="E152" i="7"/>
  <c r="E151" i="7"/>
  <c r="F151" i="7" s="1"/>
  <c r="E150" i="7"/>
  <c r="F150" i="7" s="1"/>
  <c r="F149" i="7"/>
  <c r="E149" i="7"/>
  <c r="F148" i="7"/>
  <c r="E148" i="7"/>
  <c r="F147" i="7"/>
  <c r="E147" i="7"/>
  <c r="E146" i="7"/>
  <c r="F146" i="7" s="1"/>
  <c r="E145" i="7"/>
  <c r="F145" i="7" s="1"/>
  <c r="F144" i="7"/>
  <c r="E144" i="7"/>
  <c r="E143" i="7"/>
  <c r="F143" i="7" s="1"/>
  <c r="F142" i="7"/>
  <c r="E142" i="7"/>
  <c r="E141" i="7"/>
  <c r="F141" i="7" s="1"/>
  <c r="F140" i="7"/>
  <c r="E140" i="7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E130" i="7" s="1"/>
  <c r="C130" i="7"/>
  <c r="F129" i="7"/>
  <c r="E129" i="7"/>
  <c r="E128" i="7"/>
  <c r="F128" i="7" s="1"/>
  <c r="E127" i="7"/>
  <c r="F127" i="7" s="1"/>
  <c r="E126" i="7"/>
  <c r="F126" i="7" s="1"/>
  <c r="F125" i="7"/>
  <c r="E125" i="7"/>
  <c r="F124" i="7"/>
  <c r="E124" i="7"/>
  <c r="D121" i="7"/>
  <c r="C121" i="7"/>
  <c r="E120" i="7"/>
  <c r="F120" i="7" s="1"/>
  <c r="E119" i="7"/>
  <c r="F119" i="7" s="1"/>
  <c r="F118" i="7"/>
  <c r="E118" i="7"/>
  <c r="E117" i="7"/>
  <c r="F117" i="7" s="1"/>
  <c r="F116" i="7"/>
  <c r="E116" i="7"/>
  <c r="E115" i="7"/>
  <c r="F115" i="7" s="1"/>
  <c r="E114" i="7"/>
  <c r="F114" i="7" s="1"/>
  <c r="E113" i="7"/>
  <c r="F113" i="7" s="1"/>
  <c r="E112" i="7"/>
  <c r="F112" i="7" s="1"/>
  <c r="F111" i="7"/>
  <c r="E111" i="7"/>
  <c r="E110" i="7"/>
  <c r="F110" i="7" s="1"/>
  <c r="F109" i="7"/>
  <c r="E109" i="7"/>
  <c r="F108" i="7"/>
  <c r="E108" i="7"/>
  <c r="E107" i="7"/>
  <c r="F107" i="7" s="1"/>
  <c r="E106" i="7"/>
  <c r="F106" i="7" s="1"/>
  <c r="E105" i="7"/>
  <c r="F105" i="7" s="1"/>
  <c r="E104" i="7"/>
  <c r="F104" i="7" s="1"/>
  <c r="E103" i="7"/>
  <c r="F103" i="7" s="1"/>
  <c r="F93" i="7"/>
  <c r="E93" i="7"/>
  <c r="D90" i="7"/>
  <c r="E90" i="7"/>
  <c r="F90" i="7"/>
  <c r="C90" i="7"/>
  <c r="E89" i="7"/>
  <c r="F89" i="7" s="1"/>
  <c r="F88" i="7"/>
  <c r="E88" i="7"/>
  <c r="F87" i="7"/>
  <c r="E87" i="7"/>
  <c r="E86" i="7"/>
  <c r="F86" i="7" s="1"/>
  <c r="E85" i="7"/>
  <c r="F85" i="7" s="1"/>
  <c r="F84" i="7"/>
  <c r="E84" i="7"/>
  <c r="F83" i="7"/>
  <c r="E83" i="7"/>
  <c r="E82" i="7"/>
  <c r="F82" i="7" s="1"/>
  <c r="E81" i="7"/>
  <c r="F81" i="7" s="1"/>
  <c r="E80" i="7"/>
  <c r="F80" i="7" s="1"/>
  <c r="F79" i="7"/>
  <c r="E79" i="7"/>
  <c r="F78" i="7"/>
  <c r="E78" i="7"/>
  <c r="E77" i="7"/>
  <c r="F77" i="7" s="1"/>
  <c r="F76" i="7"/>
  <c r="E76" i="7"/>
  <c r="E75" i="7"/>
  <c r="F75" i="7" s="1"/>
  <c r="F74" i="7"/>
  <c r="E74" i="7"/>
  <c r="F73" i="7"/>
  <c r="E73" i="7"/>
  <c r="F72" i="7"/>
  <c r="E72" i="7"/>
  <c r="F71" i="7"/>
  <c r="E71" i="7"/>
  <c r="F70" i="7"/>
  <c r="E70" i="7"/>
  <c r="E69" i="7"/>
  <c r="F69" i="7" s="1"/>
  <c r="E68" i="7"/>
  <c r="F68" i="7" s="1"/>
  <c r="F67" i="7"/>
  <c r="E67" i="7"/>
  <c r="E66" i="7"/>
  <c r="F66" i="7" s="1"/>
  <c r="E65" i="7"/>
  <c r="F65" i="7" s="1"/>
  <c r="F64" i="7"/>
  <c r="E64" i="7"/>
  <c r="F63" i="7"/>
  <c r="E63" i="7"/>
  <c r="E62" i="7"/>
  <c r="F62" i="7" s="1"/>
  <c r="D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F47" i="7"/>
  <c r="E47" i="7"/>
  <c r="F44" i="7"/>
  <c r="E44" i="7"/>
  <c r="D41" i="7"/>
  <c r="C41" i="7"/>
  <c r="F40" i="7"/>
  <c r="E40" i="7"/>
  <c r="E39" i="7"/>
  <c r="F39" i="7" s="1"/>
  <c r="E38" i="7"/>
  <c r="F38" i="7" s="1"/>
  <c r="D35" i="7"/>
  <c r="C35" i="7"/>
  <c r="E34" i="7"/>
  <c r="F34" i="7" s="1"/>
  <c r="F33" i="7"/>
  <c r="E33" i="7"/>
  <c r="D30" i="7"/>
  <c r="E30" i="7"/>
  <c r="F30" i="7" s="1"/>
  <c r="C30" i="7"/>
  <c r="E29" i="7"/>
  <c r="F29" i="7" s="1"/>
  <c r="E28" i="7"/>
  <c r="F28" i="7" s="1"/>
  <c r="E27" i="7"/>
  <c r="F27" i="7" s="1"/>
  <c r="D24" i="7"/>
  <c r="E24" i="7" s="1"/>
  <c r="F24" i="7" s="1"/>
  <c r="C24" i="7"/>
  <c r="E23" i="7"/>
  <c r="F23" i="7" s="1"/>
  <c r="F22" i="7"/>
  <c r="E22" i="7"/>
  <c r="E21" i="7"/>
  <c r="F21" i="7" s="1"/>
  <c r="D18" i="7"/>
  <c r="E18" i="7" s="1"/>
  <c r="F18" i="7" s="1"/>
  <c r="C18" i="7"/>
  <c r="E17" i="7"/>
  <c r="F17" i="7" s="1"/>
  <c r="F16" i="7"/>
  <c r="E16" i="7"/>
  <c r="E15" i="7"/>
  <c r="F15" i="7" s="1"/>
  <c r="D179" i="6"/>
  <c r="E179" i="6" s="1"/>
  <c r="F179" i="6" s="1"/>
  <c r="C179" i="6"/>
  <c r="E178" i="6"/>
  <c r="F178" i="6" s="1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F170" i="6"/>
  <c r="E170" i="6"/>
  <c r="E169" i="6"/>
  <c r="F169" i="6" s="1"/>
  <c r="F168" i="6"/>
  <c r="E168" i="6"/>
  <c r="D166" i="6"/>
  <c r="C166" i="6"/>
  <c r="E166" i="6" s="1"/>
  <c r="E165" i="6"/>
  <c r="F165" i="6" s="1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F156" i="6"/>
  <c r="E156" i="6"/>
  <c r="E155" i="6"/>
  <c r="F155" i="6" s="1"/>
  <c r="D153" i="6"/>
  <c r="C153" i="6"/>
  <c r="E152" i="6"/>
  <c r="F152" i="6" s="1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E137" i="6"/>
  <c r="F137" i="6" s="1"/>
  <c r="C137" i="6"/>
  <c r="E136" i="6"/>
  <c r="F136" i="6" s="1"/>
  <c r="F135" i="6"/>
  <c r="E135" i="6"/>
  <c r="E134" i="6"/>
  <c r="F134" i="6" s="1"/>
  <c r="F133" i="6"/>
  <c r="E133" i="6"/>
  <c r="E132" i="6"/>
  <c r="F132" i="6" s="1"/>
  <c r="F131" i="6"/>
  <c r="E131" i="6"/>
  <c r="E130" i="6"/>
  <c r="F130" i="6" s="1"/>
  <c r="F129" i="6"/>
  <c r="E129" i="6"/>
  <c r="E128" i="6"/>
  <c r="F128" i="6" s="1"/>
  <c r="F127" i="6"/>
  <c r="E127" i="6"/>
  <c r="E126" i="6"/>
  <c r="F126" i="6" s="1"/>
  <c r="D124" i="6"/>
  <c r="E124" i="6" s="1"/>
  <c r="F124" i="6" s="1"/>
  <c r="C124" i="6"/>
  <c r="E123" i="6"/>
  <c r="F123" i="6" s="1"/>
  <c r="F122" i="6"/>
  <c r="E122" i="6"/>
  <c r="E121" i="6"/>
  <c r="F121" i="6" s="1"/>
  <c r="E120" i="6"/>
  <c r="F120" i="6" s="1"/>
  <c r="E119" i="6"/>
  <c r="F119" i="6" s="1"/>
  <c r="F118" i="6"/>
  <c r="E118" i="6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F108" i="6"/>
  <c r="E108" i="6"/>
  <c r="E107" i="6"/>
  <c r="F107" i="6" s="1"/>
  <c r="E106" i="6"/>
  <c r="F106" i="6" s="1"/>
  <c r="E105" i="6"/>
  <c r="F105" i="6" s="1"/>
  <c r="F104" i="6"/>
  <c r="E104" i="6"/>
  <c r="F103" i="6"/>
  <c r="E103" i="6"/>
  <c r="E102" i="6"/>
  <c r="F102" i="6" s="1"/>
  <c r="E101" i="6"/>
  <c r="F101" i="6" s="1"/>
  <c r="E100" i="6"/>
  <c r="F100" i="6" s="1"/>
  <c r="D94" i="6"/>
  <c r="E94" i="6"/>
  <c r="F94" i="6" s="1"/>
  <c r="C94" i="6"/>
  <c r="D93" i="6"/>
  <c r="C93" i="6"/>
  <c r="F93" i="6" s="1"/>
  <c r="D92" i="6"/>
  <c r="C92" i="6"/>
  <c r="D91" i="6"/>
  <c r="E91" i="6" s="1"/>
  <c r="F91" i="6" s="1"/>
  <c r="C91" i="6"/>
  <c r="D90" i="6"/>
  <c r="C90" i="6"/>
  <c r="D89" i="6"/>
  <c r="C89" i="6"/>
  <c r="D88" i="6"/>
  <c r="C88" i="6"/>
  <c r="D87" i="6"/>
  <c r="C87" i="6"/>
  <c r="F87" i="6" s="1"/>
  <c r="D86" i="6"/>
  <c r="C86" i="6"/>
  <c r="D85" i="6"/>
  <c r="E85" i="6" s="1"/>
  <c r="F85" i="6" s="1"/>
  <c r="C85" i="6"/>
  <c r="D84" i="6"/>
  <c r="C84" i="6"/>
  <c r="D81" i="6"/>
  <c r="C81" i="6"/>
  <c r="F80" i="6"/>
  <c r="E80" i="6"/>
  <c r="F79" i="6"/>
  <c r="E79" i="6"/>
  <c r="F78" i="6"/>
  <c r="E78" i="6"/>
  <c r="E77" i="6"/>
  <c r="F77" i="6" s="1"/>
  <c r="E76" i="6"/>
  <c r="F76" i="6" s="1"/>
  <c r="E75" i="6"/>
  <c r="F75" i="6" s="1"/>
  <c r="F74" i="6"/>
  <c r="E74" i="6"/>
  <c r="F73" i="6"/>
  <c r="E73" i="6"/>
  <c r="E72" i="6"/>
  <c r="F72" i="6" s="1"/>
  <c r="E71" i="6"/>
  <c r="F71" i="6" s="1"/>
  <c r="E70" i="6"/>
  <c r="F70" i="6" s="1"/>
  <c r="D68" i="6"/>
  <c r="E68" i="6" s="1"/>
  <c r="F68" i="6" s="1"/>
  <c r="C68" i="6"/>
  <c r="E67" i="6"/>
  <c r="F67" i="6" s="1"/>
  <c r="F66" i="6"/>
  <c r="E66" i="6"/>
  <c r="E65" i="6"/>
  <c r="F65" i="6" s="1"/>
  <c r="F64" i="6"/>
  <c r="E64" i="6"/>
  <c r="E63" i="6"/>
  <c r="F63" i="6" s="1"/>
  <c r="E62" i="6"/>
  <c r="F62" i="6" s="1"/>
  <c r="E61" i="6"/>
  <c r="F61" i="6" s="1"/>
  <c r="F60" i="6"/>
  <c r="E60" i="6"/>
  <c r="E59" i="6"/>
  <c r="F59" i="6" s="1"/>
  <c r="F58" i="6"/>
  <c r="E58" i="6"/>
  <c r="E57" i="6"/>
  <c r="F57" i="6" s="1"/>
  <c r="D51" i="6"/>
  <c r="E51" i="6" s="1"/>
  <c r="C51" i="6"/>
  <c r="D50" i="6"/>
  <c r="C50" i="6"/>
  <c r="F50" i="6" s="1"/>
  <c r="D49" i="6"/>
  <c r="C49" i="6"/>
  <c r="D48" i="6"/>
  <c r="C48" i="6"/>
  <c r="D47" i="6"/>
  <c r="C47" i="6"/>
  <c r="D46" i="6"/>
  <c r="C46" i="6"/>
  <c r="D45" i="6"/>
  <c r="E45" i="6" s="1"/>
  <c r="C45" i="6"/>
  <c r="D44" i="6"/>
  <c r="C44" i="6"/>
  <c r="F44" i="6" s="1"/>
  <c r="D43" i="6"/>
  <c r="C43" i="6"/>
  <c r="D42" i="6"/>
  <c r="C42" i="6"/>
  <c r="D41" i="6"/>
  <c r="C41" i="6"/>
  <c r="D38" i="6"/>
  <c r="C38" i="6"/>
  <c r="E37" i="6"/>
  <c r="F37" i="6" s="1"/>
  <c r="F36" i="6"/>
  <c r="E36" i="6"/>
  <c r="F35" i="6"/>
  <c r="E35" i="6"/>
  <c r="E34" i="6"/>
  <c r="F34" i="6" s="1"/>
  <c r="F33" i="6"/>
  <c r="E33" i="6"/>
  <c r="E32" i="6"/>
  <c r="F32" i="6" s="1"/>
  <c r="E31" i="6"/>
  <c r="F31" i="6" s="1"/>
  <c r="F30" i="6"/>
  <c r="E30" i="6"/>
  <c r="E29" i="6"/>
  <c r="F29" i="6" s="1"/>
  <c r="E28" i="6"/>
  <c r="F28" i="6" s="1"/>
  <c r="F27" i="6"/>
  <c r="E27" i="6"/>
  <c r="D25" i="6"/>
  <c r="E25" i="6" s="1"/>
  <c r="F25" i="6" s="1"/>
  <c r="C25" i="6"/>
  <c r="E24" i="6"/>
  <c r="F24" i="6" s="1"/>
  <c r="F23" i="6"/>
  <c r="E23" i="6"/>
  <c r="E22" i="6"/>
  <c r="F22" i="6" s="1"/>
  <c r="F21" i="6"/>
  <c r="E21" i="6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F51" i="5"/>
  <c r="E51" i="5"/>
  <c r="D48" i="5"/>
  <c r="C48" i="5"/>
  <c r="E47" i="5"/>
  <c r="F47" i="5" s="1"/>
  <c r="F46" i="5"/>
  <c r="E46" i="5"/>
  <c r="D41" i="5"/>
  <c r="E41" i="5" s="1"/>
  <c r="F41" i="5" s="1"/>
  <c r="C41" i="5"/>
  <c r="E40" i="5"/>
  <c r="F40" i="5" s="1"/>
  <c r="E39" i="5"/>
  <c r="F39" i="5" s="1"/>
  <c r="F38" i="5"/>
  <c r="E38" i="5"/>
  <c r="D33" i="5"/>
  <c r="E33" i="5" s="1"/>
  <c r="F33" i="5" s="1"/>
  <c r="C33" i="5"/>
  <c r="E32" i="5"/>
  <c r="F32" i="5" s="1"/>
  <c r="E31" i="5"/>
  <c r="F31" i="5" s="1"/>
  <c r="F30" i="5"/>
  <c r="E30" i="5"/>
  <c r="F29" i="5"/>
  <c r="E29" i="5"/>
  <c r="E28" i="5"/>
  <c r="F28" i="5" s="1"/>
  <c r="E27" i="5"/>
  <c r="F27" i="5" s="1"/>
  <c r="F26" i="5"/>
  <c r="E26" i="5"/>
  <c r="F25" i="5"/>
  <c r="E25" i="5"/>
  <c r="E24" i="5"/>
  <c r="F24" i="5" s="1"/>
  <c r="F20" i="5"/>
  <c r="E20" i="5"/>
  <c r="E19" i="5"/>
  <c r="F19" i="5" s="1"/>
  <c r="F17" i="5"/>
  <c r="E17" i="5"/>
  <c r="D16" i="5"/>
  <c r="D18" i="5" s="1"/>
  <c r="C16" i="5"/>
  <c r="F15" i="5"/>
  <c r="E15" i="5"/>
  <c r="F14" i="5"/>
  <c r="E14" i="5"/>
  <c r="E13" i="5"/>
  <c r="F13" i="5" s="1"/>
  <c r="E12" i="5"/>
  <c r="F12" i="5" s="1"/>
  <c r="D73" i="4"/>
  <c r="C73" i="4"/>
  <c r="F72" i="4"/>
  <c r="E72" i="4"/>
  <c r="F71" i="4"/>
  <c r="E71" i="4"/>
  <c r="E70" i="4"/>
  <c r="F70" i="4"/>
  <c r="F67" i="4"/>
  <c r="E67" i="4"/>
  <c r="F64" i="4"/>
  <c r="E64" i="4"/>
  <c r="E63" i="4"/>
  <c r="F63" i="4" s="1"/>
  <c r="D61" i="4"/>
  <c r="D65" i="4"/>
  <c r="C61" i="4"/>
  <c r="F60" i="4"/>
  <c r="E60" i="4"/>
  <c r="F59" i="4"/>
  <c r="E59" i="4"/>
  <c r="D56" i="4"/>
  <c r="C56" i="4"/>
  <c r="E55" i="4"/>
  <c r="F55" i="4"/>
  <c r="F54" i="4"/>
  <c r="E54" i="4"/>
  <c r="F53" i="4"/>
  <c r="E53" i="4"/>
  <c r="F52" i="4"/>
  <c r="E52" i="4"/>
  <c r="E51" i="4"/>
  <c r="F51" i="4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/>
  <c r="D38" i="4"/>
  <c r="D41" i="4" s="1"/>
  <c r="C38" i="4"/>
  <c r="E37" i="4"/>
  <c r="F37" i="4" s="1"/>
  <c r="E36" i="4"/>
  <c r="F36" i="4" s="1"/>
  <c r="E33" i="4"/>
  <c r="F33" i="4" s="1"/>
  <c r="F32" i="4"/>
  <c r="E32" i="4"/>
  <c r="F31" i="4"/>
  <c r="E31" i="4"/>
  <c r="D29" i="4"/>
  <c r="C29" i="4"/>
  <c r="C43" i="4" s="1"/>
  <c r="E28" i="4"/>
  <c r="F28" i="4" s="1"/>
  <c r="F27" i="4"/>
  <c r="E27" i="4"/>
  <c r="F26" i="4"/>
  <c r="E26" i="4"/>
  <c r="F25" i="4"/>
  <c r="E25" i="4"/>
  <c r="D22" i="4"/>
  <c r="C22" i="4"/>
  <c r="E21" i="4"/>
  <c r="F21" i="4"/>
  <c r="E20" i="4"/>
  <c r="F20" i="4" s="1"/>
  <c r="E19" i="4"/>
  <c r="F19" i="4" s="1"/>
  <c r="F18" i="4"/>
  <c r="E18" i="4"/>
  <c r="E17" i="4"/>
  <c r="F17" i="4"/>
  <c r="F16" i="4"/>
  <c r="E16" i="4"/>
  <c r="E15" i="4"/>
  <c r="F15" i="4" s="1"/>
  <c r="F14" i="4"/>
  <c r="E14" i="4"/>
  <c r="E13" i="4"/>
  <c r="F13" i="4"/>
  <c r="C108" i="22"/>
  <c r="C23" i="22"/>
  <c r="C30" i="22" s="1"/>
  <c r="D33" i="22"/>
  <c r="C34" i="22"/>
  <c r="D101" i="22"/>
  <c r="C22" i="22"/>
  <c r="E16" i="20"/>
  <c r="F16" i="20" s="1"/>
  <c r="C20" i="20"/>
  <c r="C40" i="20"/>
  <c r="E43" i="20"/>
  <c r="F43" i="20" s="1"/>
  <c r="E21" i="18"/>
  <c r="E37" i="18"/>
  <c r="E69" i="18"/>
  <c r="E205" i="18"/>
  <c r="E221" i="18"/>
  <c r="F53" i="17"/>
  <c r="F296" i="17"/>
  <c r="E297" i="17"/>
  <c r="F297" i="17" s="1"/>
  <c r="E298" i="17"/>
  <c r="F298" i="17" s="1"/>
  <c r="C22" i="18"/>
  <c r="D33" i="18"/>
  <c r="E33" i="18" s="1"/>
  <c r="D65" i="18"/>
  <c r="D71" i="18"/>
  <c r="D175" i="18"/>
  <c r="D240" i="18"/>
  <c r="D253" i="18" s="1"/>
  <c r="D222" i="18"/>
  <c r="E218" i="18"/>
  <c r="E231" i="18"/>
  <c r="D244" i="18"/>
  <c r="E265" i="18"/>
  <c r="D303" i="18"/>
  <c r="E251" i="18"/>
  <c r="D326" i="18"/>
  <c r="C32" i="17"/>
  <c r="C140" i="17" s="1"/>
  <c r="C141" i="17" s="1"/>
  <c r="C138" i="17"/>
  <c r="E31" i="17"/>
  <c r="F31" i="17" s="1"/>
  <c r="E137" i="17"/>
  <c r="F137" i="17" s="1"/>
  <c r="E138" i="17"/>
  <c r="F138" i="17" s="1"/>
  <c r="C21" i="17"/>
  <c r="C37" i="17"/>
  <c r="F47" i="17"/>
  <c r="C48" i="17"/>
  <c r="E48" i="17" s="1"/>
  <c r="E58" i="17"/>
  <c r="F58" i="17" s="1"/>
  <c r="C60" i="17"/>
  <c r="E60" i="17"/>
  <c r="F60" i="17" s="1"/>
  <c r="E66" i="17"/>
  <c r="E67" i="17"/>
  <c r="F67" i="17"/>
  <c r="C68" i="17"/>
  <c r="D102" i="17"/>
  <c r="D103" i="17" s="1"/>
  <c r="D105" i="17" s="1"/>
  <c r="D106" i="17" s="1"/>
  <c r="F130" i="17"/>
  <c r="F155" i="17"/>
  <c r="D172" i="17"/>
  <c r="D21" i="17"/>
  <c r="C193" i="17"/>
  <c r="C194" i="17" s="1"/>
  <c r="E123" i="17"/>
  <c r="F123" i="17" s="1"/>
  <c r="C124" i="17"/>
  <c r="E136" i="17"/>
  <c r="F136" i="17" s="1"/>
  <c r="E144" i="17"/>
  <c r="F144" i="17" s="1"/>
  <c r="E158" i="17"/>
  <c r="F158" i="17"/>
  <c r="E188" i="17"/>
  <c r="F188" i="17"/>
  <c r="E189" i="17"/>
  <c r="F189" i="17" s="1"/>
  <c r="C190" i="17"/>
  <c r="C290" i="17"/>
  <c r="E290" i="17" s="1"/>
  <c r="C274" i="17"/>
  <c r="C206" i="17"/>
  <c r="C214" i="17"/>
  <c r="E226" i="17"/>
  <c r="F226" i="17"/>
  <c r="C254" i="17"/>
  <c r="C255" i="17"/>
  <c r="C261" i="17"/>
  <c r="C262" i="17"/>
  <c r="C267" i="17"/>
  <c r="D190" i="17"/>
  <c r="E190" i="17" s="1"/>
  <c r="F190" i="17" s="1"/>
  <c r="D290" i="17"/>
  <c r="D274" i="17"/>
  <c r="D199" i="17"/>
  <c r="D200" i="17"/>
  <c r="D267" i="17"/>
  <c r="D214" i="17"/>
  <c r="D261" i="17"/>
  <c r="D262" i="17"/>
  <c r="F21" i="16"/>
  <c r="E33" i="14"/>
  <c r="E36" i="14" s="1"/>
  <c r="E38" i="14" s="1"/>
  <c r="E40" i="14" s="1"/>
  <c r="G33" i="14"/>
  <c r="G36" i="14" s="1"/>
  <c r="G38" i="14" s="1"/>
  <c r="G40" i="14" s="1"/>
  <c r="E17" i="13"/>
  <c r="E28" i="13" s="1"/>
  <c r="E70" i="13"/>
  <c r="E72" i="13" s="1"/>
  <c r="E69" i="13" s="1"/>
  <c r="E48" i="13"/>
  <c r="E42" i="13" s="1"/>
  <c r="D20" i="12"/>
  <c r="D34" i="12" s="1"/>
  <c r="D41" i="11"/>
  <c r="E23" i="10"/>
  <c r="E24" i="10"/>
  <c r="E36" i="10"/>
  <c r="E48" i="10"/>
  <c r="E95" i="10"/>
  <c r="E96" i="10"/>
  <c r="E108" i="10"/>
  <c r="E115" i="10"/>
  <c r="E119" i="10"/>
  <c r="E120" i="10"/>
  <c r="C122" i="10"/>
  <c r="F122" i="10" s="1"/>
  <c r="E88" i="9"/>
  <c r="E102" i="9"/>
  <c r="F102" i="9" s="1"/>
  <c r="E114" i="9"/>
  <c r="F114" i="9" s="1"/>
  <c r="E128" i="9"/>
  <c r="F128" i="9" s="1"/>
  <c r="E140" i="9"/>
  <c r="F140" i="9" s="1"/>
  <c r="E153" i="9"/>
  <c r="E166" i="9"/>
  <c r="E179" i="9"/>
  <c r="E193" i="9"/>
  <c r="F193" i="9" s="1"/>
  <c r="E201" i="9"/>
  <c r="F201" i="9" s="1"/>
  <c r="F203" i="9"/>
  <c r="E205" i="9"/>
  <c r="F205" i="9" s="1"/>
  <c r="F115" i="9"/>
  <c r="F127" i="9"/>
  <c r="F141" i="9"/>
  <c r="E141" i="9"/>
  <c r="E167" i="9"/>
  <c r="E180" i="9"/>
  <c r="E200" i="9"/>
  <c r="F200" i="9" s="1"/>
  <c r="E204" i="9"/>
  <c r="F204" i="9"/>
  <c r="E153" i="8"/>
  <c r="E156" i="8"/>
  <c r="D15" i="8"/>
  <c r="D17" i="8" s="1"/>
  <c r="D28" i="8" s="1"/>
  <c r="D99" i="8" s="1"/>
  <c r="D101" i="8" s="1"/>
  <c r="D98" i="8" s="1"/>
  <c r="E43" i="8"/>
  <c r="D49" i="8"/>
  <c r="C53" i="8"/>
  <c r="E53" i="8"/>
  <c r="D57" i="8"/>
  <c r="D62" i="8"/>
  <c r="D77" i="8"/>
  <c r="D71" i="8" s="1"/>
  <c r="C15" i="8"/>
  <c r="E15" i="8"/>
  <c r="E24" i="8" s="1"/>
  <c r="D43" i="8"/>
  <c r="C49" i="8"/>
  <c r="E49" i="8"/>
  <c r="D188" i="7"/>
  <c r="E84" i="6"/>
  <c r="F84" i="6" s="1"/>
  <c r="D21" i="5"/>
  <c r="D35" i="5" s="1"/>
  <c r="D43" i="5" s="1"/>
  <c r="E29" i="4"/>
  <c r="F29" i="4" s="1"/>
  <c r="E38" i="4"/>
  <c r="F38" i="4" s="1"/>
  <c r="C41" i="4"/>
  <c r="E73" i="4"/>
  <c r="C53" i="22"/>
  <c r="C45" i="22"/>
  <c r="C39" i="22"/>
  <c r="C35" i="22"/>
  <c r="C29" i="22"/>
  <c r="C55" i="22" s="1"/>
  <c r="C110" i="22"/>
  <c r="C111" i="22"/>
  <c r="C46" i="22"/>
  <c r="C40" i="22"/>
  <c r="C36" i="22"/>
  <c r="E39" i="20"/>
  <c r="D306" i="18"/>
  <c r="D310" i="18" s="1"/>
  <c r="E65" i="18"/>
  <c r="E22" i="18"/>
  <c r="D271" i="17"/>
  <c r="D268" i="17"/>
  <c r="C125" i="17"/>
  <c r="C90" i="17"/>
  <c r="C175" i="17"/>
  <c r="F290" i="17"/>
  <c r="D49" i="17"/>
  <c r="D50" i="17" s="1"/>
  <c r="D161" i="17"/>
  <c r="D162" i="17" s="1"/>
  <c r="D183" i="17" s="1"/>
  <c r="D173" i="17"/>
  <c r="E173" i="17" s="1"/>
  <c r="F173" i="17"/>
  <c r="C61" i="17"/>
  <c r="D207" i="17"/>
  <c r="C24" i="8"/>
  <c r="C17" i="8"/>
  <c r="D24" i="8"/>
  <c r="C48" i="22"/>
  <c r="C47" i="22"/>
  <c r="C37" i="22"/>
  <c r="C112" i="22"/>
  <c r="D259" i="18"/>
  <c r="D77" i="18"/>
  <c r="C176" i="17"/>
  <c r="D175" i="17"/>
  <c r="D176" i="17" s="1"/>
  <c r="D112" i="8"/>
  <c r="D111" i="8" s="1"/>
  <c r="D113" i="18"/>
  <c r="C322" i="17"/>
  <c r="E175" i="17"/>
  <c r="F175" i="17" s="1"/>
  <c r="F16" i="5" l="1"/>
  <c r="F86" i="6"/>
  <c r="D157" i="8"/>
  <c r="D153" i="8"/>
  <c r="D155" i="8"/>
  <c r="F29" i="11"/>
  <c r="E29" i="11"/>
  <c r="D126" i="18"/>
  <c r="D111" i="18"/>
  <c r="D110" i="18"/>
  <c r="D123" i="18"/>
  <c r="D122" i="18"/>
  <c r="D114" i="18"/>
  <c r="E157" i="8"/>
  <c r="E59" i="10"/>
  <c r="E59" i="7"/>
  <c r="F59" i="7" s="1"/>
  <c r="D95" i="7"/>
  <c r="E202" i="9"/>
  <c r="F202" i="9" s="1"/>
  <c r="E206" i="9"/>
  <c r="F206" i="9" s="1"/>
  <c r="F47" i="10"/>
  <c r="E47" i="10"/>
  <c r="D125" i="18"/>
  <c r="D208" i="17"/>
  <c r="C155" i="8"/>
  <c r="C208" i="9"/>
  <c r="D215" i="17"/>
  <c r="F92" i="6"/>
  <c r="C280" i="17"/>
  <c r="E280" i="17" s="1"/>
  <c r="F280" i="17" s="1"/>
  <c r="C264" i="17"/>
  <c r="C300" i="17" s="1"/>
  <c r="C200" i="17"/>
  <c r="C285" i="17"/>
  <c r="C286" i="17" s="1"/>
  <c r="C205" i="17"/>
  <c r="C269" i="17"/>
  <c r="E70" i="18"/>
  <c r="D20" i="20"/>
  <c r="E20" i="20" s="1"/>
  <c r="F20" i="20" s="1"/>
  <c r="E19" i="20"/>
  <c r="F19" i="20" s="1"/>
  <c r="D59" i="13"/>
  <c r="D61" i="13" s="1"/>
  <c r="D57" i="13" s="1"/>
  <c r="D48" i="13"/>
  <c r="D42" i="13" s="1"/>
  <c r="D207" i="9"/>
  <c r="E198" i="9"/>
  <c r="F198" i="9" s="1"/>
  <c r="D124" i="18"/>
  <c r="C112" i="8"/>
  <c r="C111" i="8" s="1"/>
  <c r="C28" i="8"/>
  <c r="C99" i="8" s="1"/>
  <c r="C101" i="8" s="1"/>
  <c r="C98" i="8" s="1"/>
  <c r="F73" i="4"/>
  <c r="D323" i="17"/>
  <c r="D154" i="8"/>
  <c r="E113" i="10"/>
  <c r="E40" i="20"/>
  <c r="E41" i="20" s="1"/>
  <c r="F41" i="20" s="1"/>
  <c r="C41" i="20"/>
  <c r="E52" i="17"/>
  <c r="F52" i="17"/>
  <c r="F100" i="17"/>
  <c r="C270" i="17"/>
  <c r="E84" i="10"/>
  <c r="D152" i="8"/>
  <c r="D216" i="17"/>
  <c r="C113" i="22"/>
  <c r="C56" i="22"/>
  <c r="C38" i="22"/>
  <c r="E16" i="5"/>
  <c r="C18" i="5"/>
  <c r="E88" i="17"/>
  <c r="F88" i="17" s="1"/>
  <c r="D89" i="17"/>
  <c r="E89" i="17" s="1"/>
  <c r="F89" i="17" s="1"/>
  <c r="E204" i="17"/>
  <c r="F204" i="17" s="1"/>
  <c r="D285" i="17"/>
  <c r="E285" i="17" s="1"/>
  <c r="D269" i="17"/>
  <c r="E176" i="17"/>
  <c r="F176" i="17" s="1"/>
  <c r="E17" i="8"/>
  <c r="D156" i="8"/>
  <c r="E112" i="10"/>
  <c r="D91" i="17"/>
  <c r="D92" i="17" s="1"/>
  <c r="D113" i="17" s="1"/>
  <c r="E22" i="4"/>
  <c r="F22" i="4" s="1"/>
  <c r="D43" i="4"/>
  <c r="E43" i="4" s="1"/>
  <c r="F43" i="4" s="1"/>
  <c r="D37" i="17"/>
  <c r="E35" i="17"/>
  <c r="F35" i="17" s="1"/>
  <c r="E191" i="17"/>
  <c r="F191" i="17" s="1"/>
  <c r="E42" i="18"/>
  <c r="D243" i="18"/>
  <c r="D217" i="18"/>
  <c r="D241" i="18" s="1"/>
  <c r="E219" i="18"/>
  <c r="E277" i="18"/>
  <c r="E33" i="22"/>
  <c r="E34" i="22"/>
  <c r="C54" i="22"/>
  <c r="C43" i="8"/>
  <c r="F277" i="17"/>
  <c r="E23" i="22"/>
  <c r="E41" i="4"/>
  <c r="E86" i="6"/>
  <c r="E35" i="7"/>
  <c r="F35" i="7" s="1"/>
  <c r="F49" i="9"/>
  <c r="F118" i="10"/>
  <c r="E40" i="12"/>
  <c r="F40" i="12" s="1"/>
  <c r="E13" i="16"/>
  <c r="F13" i="16" s="1"/>
  <c r="E20" i="17"/>
  <c r="F20" i="17" s="1"/>
  <c r="F66" i="17"/>
  <c r="E94" i="17"/>
  <c r="F94" i="17" s="1"/>
  <c r="E101" i="17"/>
  <c r="F101" i="17"/>
  <c r="C239" i="17"/>
  <c r="E55" i="18"/>
  <c r="E262" i="18"/>
  <c r="E46" i="6"/>
  <c r="E50" i="6"/>
  <c r="C95" i="6"/>
  <c r="D25" i="13"/>
  <c r="D27" i="13" s="1"/>
  <c r="D21" i="13" s="1"/>
  <c r="D15" i="13"/>
  <c r="F30" i="15"/>
  <c r="D77" i="17"/>
  <c r="E77" i="17" s="1"/>
  <c r="E76" i="17"/>
  <c r="F76" i="17" s="1"/>
  <c r="E145" i="17"/>
  <c r="F145" i="17" s="1"/>
  <c r="D146" i="17"/>
  <c r="C159" i="17"/>
  <c r="F238" i="17"/>
  <c r="F34" i="20"/>
  <c r="E36" i="20"/>
  <c r="F36" i="20" s="1"/>
  <c r="E22" i="22"/>
  <c r="E15" i="12"/>
  <c r="F15" i="12" s="1"/>
  <c r="C17" i="12"/>
  <c r="C20" i="12" s="1"/>
  <c r="C34" i="12" s="1"/>
  <c r="F31" i="14"/>
  <c r="F33" i="14"/>
  <c r="F36" i="14" s="1"/>
  <c r="F38" i="14" s="1"/>
  <c r="F40" i="14" s="1"/>
  <c r="F44" i="17"/>
  <c r="C278" i="17"/>
  <c r="E278" i="17" s="1"/>
  <c r="F278" i="17" s="1"/>
  <c r="C215" i="17"/>
  <c r="C216" i="17" s="1"/>
  <c r="C199" i="17"/>
  <c r="C284" i="17"/>
  <c r="E176" i="18"/>
  <c r="C260" i="18"/>
  <c r="E260" i="18" s="1"/>
  <c r="E195" i="18"/>
  <c r="D210" i="18"/>
  <c r="D229" i="18"/>
  <c r="D41" i="20"/>
  <c r="E45" i="20"/>
  <c r="F45" i="20" s="1"/>
  <c r="D77" i="22"/>
  <c r="E149" i="8"/>
  <c r="E61" i="11"/>
  <c r="F61" i="11" s="1"/>
  <c r="D65" i="11"/>
  <c r="D239" i="17"/>
  <c r="E237" i="17"/>
  <c r="F237" i="17" s="1"/>
  <c r="E229" i="18"/>
  <c r="D239" i="18"/>
  <c r="E239" i="18" s="1"/>
  <c r="E215" i="18"/>
  <c r="E172" i="17"/>
  <c r="F172" i="17" s="1"/>
  <c r="D264" i="17"/>
  <c r="E37" i="17"/>
  <c r="F37" i="17" s="1"/>
  <c r="C207" i="17"/>
  <c r="C208" i="17" s="1"/>
  <c r="C210" i="17" s="1"/>
  <c r="E267" i="17"/>
  <c r="F267" i="17" s="1"/>
  <c r="D90" i="17"/>
  <c r="E90" i="17" s="1"/>
  <c r="F90" i="17" s="1"/>
  <c r="E88" i="6"/>
  <c r="F88" i="6" s="1"/>
  <c r="F167" i="7"/>
  <c r="E92" i="15"/>
  <c r="F92" i="15" s="1"/>
  <c r="E30" i="17"/>
  <c r="F30" i="17" s="1"/>
  <c r="F110" i="17"/>
  <c r="E159" i="17"/>
  <c r="D279" i="17"/>
  <c r="D283" i="17"/>
  <c r="D206" i="17"/>
  <c r="D163" i="18"/>
  <c r="D144" i="18"/>
  <c r="E139" i="18"/>
  <c r="D156" i="18"/>
  <c r="E151" i="18"/>
  <c r="E162" i="18"/>
  <c r="E324" i="18"/>
  <c r="D294" i="18"/>
  <c r="E294" i="18" s="1"/>
  <c r="E89" i="6"/>
  <c r="F89" i="6" s="1"/>
  <c r="E92" i="6"/>
  <c r="E121" i="7"/>
  <c r="E63" i="9"/>
  <c r="E23" i="15"/>
  <c r="F23" i="15" s="1"/>
  <c r="E45" i="15"/>
  <c r="F45" i="15" s="1"/>
  <c r="F17" i="16"/>
  <c r="E44" i="17"/>
  <c r="E85" i="17"/>
  <c r="F85" i="17" s="1"/>
  <c r="E100" i="17"/>
  <c r="E39" i="18"/>
  <c r="E288" i="18"/>
  <c r="E314" i="18"/>
  <c r="E48" i="5"/>
  <c r="F48" i="5" s="1"/>
  <c r="E48" i="6"/>
  <c r="E90" i="6"/>
  <c r="F90" i="6" s="1"/>
  <c r="E93" i="6"/>
  <c r="E167" i="7"/>
  <c r="D149" i="8"/>
  <c r="C149" i="8"/>
  <c r="E50" i="9"/>
  <c r="F50" i="9" s="1"/>
  <c r="D122" i="10"/>
  <c r="E122" i="10" s="1"/>
  <c r="E30" i="15"/>
  <c r="E73" i="18"/>
  <c r="E163" i="18"/>
  <c r="E290" i="18"/>
  <c r="E293" i="18"/>
  <c r="E102" i="22"/>
  <c r="E103" i="22" s="1"/>
  <c r="E93" i="22"/>
  <c r="C284" i="18"/>
  <c r="C52" i="6"/>
  <c r="E25" i="13"/>
  <c r="E27" i="13" s="1"/>
  <c r="E37" i="15"/>
  <c r="F37" i="15" s="1"/>
  <c r="E107" i="15"/>
  <c r="F107" i="15" s="1"/>
  <c r="E41" i="18"/>
  <c r="C175" i="18"/>
  <c r="E175" i="18" s="1"/>
  <c r="E282" i="18"/>
  <c r="E88" i="22"/>
  <c r="C207" i="9"/>
  <c r="C61" i="13"/>
  <c r="C57" i="13" s="1"/>
  <c r="E59" i="17"/>
  <c r="F59" i="17" s="1"/>
  <c r="C195" i="17"/>
  <c r="C196" i="17"/>
  <c r="E41" i="11"/>
  <c r="D43" i="11"/>
  <c r="C271" i="17"/>
  <c r="E271" i="17" s="1"/>
  <c r="E261" i="17"/>
  <c r="F261" i="17" s="1"/>
  <c r="C263" i="17"/>
  <c r="C268" i="17"/>
  <c r="E21" i="8"/>
  <c r="E20" i="8"/>
  <c r="E75" i="9"/>
  <c r="F75" i="9" s="1"/>
  <c r="E101" i="9"/>
  <c r="F101" i="9" s="1"/>
  <c r="E112" i="8"/>
  <c r="E111" i="8" s="1"/>
  <c r="E28" i="8"/>
  <c r="D304" i="17"/>
  <c r="C126" i="17"/>
  <c r="C161" i="17"/>
  <c r="E21" i="17"/>
  <c r="F21" i="17" s="1"/>
  <c r="C49" i="17"/>
  <c r="C91" i="17"/>
  <c r="F61" i="4"/>
  <c r="E61" i="4"/>
  <c r="C65" i="4"/>
  <c r="C21" i="5"/>
  <c r="E21" i="5" s="1"/>
  <c r="E47" i="6"/>
  <c r="F47" i="6" s="1"/>
  <c r="F32" i="12"/>
  <c r="F129" i="17"/>
  <c r="D128" i="18"/>
  <c r="E18" i="5"/>
  <c r="F18" i="5" s="1"/>
  <c r="D263" i="17"/>
  <c r="E262" i="17"/>
  <c r="F262" i="17" s="1"/>
  <c r="C211" i="17"/>
  <c r="E274" i="17"/>
  <c r="F274" i="17" s="1"/>
  <c r="E61" i="17"/>
  <c r="F61" i="17" s="1"/>
  <c r="D174" i="17"/>
  <c r="D139" i="17"/>
  <c r="E44" i="6"/>
  <c r="C253" i="18"/>
  <c r="E253" i="18" s="1"/>
  <c r="E240" i="18"/>
  <c r="D324" i="17"/>
  <c r="E91" i="17"/>
  <c r="F39" i="20"/>
  <c r="D223" i="18"/>
  <c r="E222" i="18"/>
  <c r="D246" i="18"/>
  <c r="C88" i="8"/>
  <c r="C90" i="8" s="1"/>
  <c r="C86" i="8" s="1"/>
  <c r="C77" i="8"/>
  <c r="C71" i="8" s="1"/>
  <c r="E20" i="12"/>
  <c r="F20" i="12" s="1"/>
  <c r="C266" i="17"/>
  <c r="F41" i="4"/>
  <c r="F49" i="6"/>
  <c r="E87" i="6"/>
  <c r="D95" i="6"/>
  <c r="E95" i="6" s="1"/>
  <c r="F95" i="6" s="1"/>
  <c r="F29" i="17"/>
  <c r="D50" i="5"/>
  <c r="D42" i="12"/>
  <c r="C62" i="17"/>
  <c r="C139" i="17"/>
  <c r="E214" i="17"/>
  <c r="F214" i="17" s="1"/>
  <c r="E46" i="20"/>
  <c r="F46" i="20" s="1"/>
  <c r="F188" i="7"/>
  <c r="E206" i="17"/>
  <c r="F206" i="17" s="1"/>
  <c r="E88" i="8"/>
  <c r="E90" i="8" s="1"/>
  <c r="E86" i="8" s="1"/>
  <c r="E77" i="8"/>
  <c r="E71" i="8" s="1"/>
  <c r="E36" i="9"/>
  <c r="F36" i="9"/>
  <c r="C33" i="14"/>
  <c r="C31" i="14"/>
  <c r="C174" i="17"/>
  <c r="C282" i="17"/>
  <c r="D254" i="17"/>
  <c r="E65" i="11"/>
  <c r="F65" i="11" s="1"/>
  <c r="D75" i="11"/>
  <c r="E75" i="11" s="1"/>
  <c r="F75" i="11" s="1"/>
  <c r="H17" i="14"/>
  <c r="C304" i="17"/>
  <c r="D62" i="17"/>
  <c r="E32" i="17"/>
  <c r="F32" i="17" s="1"/>
  <c r="D140" i="17"/>
  <c r="D330" i="18"/>
  <c r="E330" i="18" s="1"/>
  <c r="E326" i="18"/>
  <c r="C49" i="19"/>
  <c r="E42" i="6"/>
  <c r="F42" i="6" s="1"/>
  <c r="D52" i="6"/>
  <c r="E52" i="6" s="1"/>
  <c r="F52" i="6" s="1"/>
  <c r="C211" i="18"/>
  <c r="C235" i="18" s="1"/>
  <c r="C234" i="18"/>
  <c r="F43" i="6"/>
  <c r="E49" i="6"/>
  <c r="C156" i="8"/>
  <c r="C154" i="8"/>
  <c r="G31" i="14"/>
  <c r="I17" i="14"/>
  <c r="F23" i="20"/>
  <c r="E25" i="20"/>
  <c r="F25" i="20" s="1"/>
  <c r="D112" i="18"/>
  <c r="D115" i="18"/>
  <c r="F48" i="17"/>
  <c r="E283" i="17"/>
  <c r="F283" i="17" s="1"/>
  <c r="D234" i="18"/>
  <c r="E234" i="18" s="1"/>
  <c r="D288" i="17"/>
  <c r="D66" i="18"/>
  <c r="C157" i="8"/>
  <c r="E60" i="10"/>
  <c r="E54" i="18"/>
  <c r="E43" i="6"/>
  <c r="E155" i="8"/>
  <c r="E152" i="8"/>
  <c r="F62" i="9"/>
  <c r="E62" i="9"/>
  <c r="E207" i="9"/>
  <c r="F207" i="9" s="1"/>
  <c r="C15" i="13"/>
  <c r="F227" i="17"/>
  <c r="F40" i="20"/>
  <c r="E56" i="4"/>
  <c r="F56" i="4"/>
  <c r="E153" i="6"/>
  <c r="F153" i="6" s="1"/>
  <c r="E138" i="8"/>
  <c r="E136" i="8"/>
  <c r="C41" i="11"/>
  <c r="E17" i="12"/>
  <c r="F17" i="12" s="1"/>
  <c r="E146" i="17"/>
  <c r="F146" i="17" s="1"/>
  <c r="F164" i="17"/>
  <c r="C287" i="17"/>
  <c r="C252" i="18"/>
  <c r="C254" i="18" s="1"/>
  <c r="C303" i="18"/>
  <c r="C306" i="18" s="1"/>
  <c r="D127" i="18"/>
  <c r="D121" i="18"/>
  <c r="E207" i="17"/>
  <c r="F207" i="17" s="1"/>
  <c r="C21" i="13"/>
  <c r="E316" i="18"/>
  <c r="D284" i="18"/>
  <c r="D75" i="4"/>
  <c r="E41" i="6"/>
  <c r="F41" i="6" s="1"/>
  <c r="F166" i="6"/>
  <c r="E79" i="8"/>
  <c r="D137" i="8"/>
  <c r="E192" i="9"/>
  <c r="F192" i="9" s="1"/>
  <c r="F107" i="10"/>
  <c r="E107" i="10"/>
  <c r="E38" i="11"/>
  <c r="F38" i="11" s="1"/>
  <c r="E80" i="13"/>
  <c r="E77" i="13" s="1"/>
  <c r="E65" i="15"/>
  <c r="F65" i="15" s="1"/>
  <c r="D192" i="17"/>
  <c r="D124" i="17"/>
  <c r="E180" i="17"/>
  <c r="F180" i="17" s="1"/>
  <c r="D181" i="17"/>
  <c r="E181" i="17" s="1"/>
  <c r="F181" i="17" s="1"/>
  <c r="C33" i="19"/>
  <c r="C37" i="19"/>
  <c r="C38" i="19" s="1"/>
  <c r="C127" i="19" s="1"/>
  <c r="C129" i="19" s="1"/>
  <c r="C133" i="19" s="1"/>
  <c r="D22" i="22"/>
  <c r="D23" i="22"/>
  <c r="F73" i="15"/>
  <c r="E75" i="15"/>
  <c r="F75" i="15" s="1"/>
  <c r="E36" i="18"/>
  <c r="D44" i="18"/>
  <c r="D109" i="18"/>
  <c r="C152" i="8"/>
  <c r="E116" i="10"/>
  <c r="E43" i="18"/>
  <c r="E109" i="17"/>
  <c r="F109" i="17" s="1"/>
  <c r="D111" i="17"/>
  <c r="E111" i="17" s="1"/>
  <c r="F111" i="17" s="1"/>
  <c r="E135" i="17"/>
  <c r="F135" i="17" s="1"/>
  <c r="E165" i="17"/>
  <c r="F165" i="17"/>
  <c r="D306" i="17"/>
  <c r="E306" i="17" s="1"/>
  <c r="E250" i="17"/>
  <c r="F250" i="17" s="1"/>
  <c r="C294" i="18"/>
  <c r="C66" i="18"/>
  <c r="C295" i="18" s="1"/>
  <c r="D189" i="18"/>
  <c r="E189" i="18" s="1"/>
  <c r="D261" i="18"/>
  <c r="E216" i="18"/>
  <c r="C222" i="18"/>
  <c r="E38" i="6"/>
  <c r="F38" i="6" s="1"/>
  <c r="F46" i="6"/>
  <c r="E81" i="6"/>
  <c r="F81" i="6" s="1"/>
  <c r="E41" i="7"/>
  <c r="F41" i="7" s="1"/>
  <c r="F121" i="7"/>
  <c r="C27" i="8"/>
  <c r="E16" i="15"/>
  <c r="F16" i="15" s="1"/>
  <c r="F59" i="15"/>
  <c r="E60" i="15"/>
  <c r="F60" i="15" s="1"/>
  <c r="C283" i="18"/>
  <c r="E230" i="18"/>
  <c r="E111" i="6"/>
  <c r="F111" i="6" s="1"/>
  <c r="D79" i="8"/>
  <c r="E239" i="17"/>
  <c r="F239" i="17" s="1"/>
  <c r="C289" i="18"/>
  <c r="E289" i="18" s="1"/>
  <c r="C71" i="18"/>
  <c r="E71" i="18" s="1"/>
  <c r="E60" i="18"/>
  <c r="F45" i="6"/>
  <c r="F48" i="6"/>
  <c r="F51" i="6"/>
  <c r="E223" i="17"/>
  <c r="F223" i="17"/>
  <c r="E74" i="18"/>
  <c r="E220" i="18"/>
  <c r="C244" i="18"/>
  <c r="E244" i="18" s="1"/>
  <c r="E280" i="18"/>
  <c r="C95" i="7"/>
  <c r="F130" i="7"/>
  <c r="E183" i="7"/>
  <c r="F183" i="7" s="1"/>
  <c r="D90" i="8"/>
  <c r="D86" i="8" s="1"/>
  <c r="D109" i="8"/>
  <c r="D106" i="8" s="1"/>
  <c r="F56" i="11"/>
  <c r="E29" i="17"/>
  <c r="E36" i="17"/>
  <c r="F36" i="17" s="1"/>
  <c r="E229" i="17"/>
  <c r="F229" i="17" s="1"/>
  <c r="C44" i="18"/>
  <c r="C93" i="22"/>
  <c r="E61" i="13"/>
  <c r="E57" i="13" s="1"/>
  <c r="D33" i="14"/>
  <c r="D36" i="14" s="1"/>
  <c r="D38" i="14" s="1"/>
  <c r="D40" i="14" s="1"/>
  <c r="E100" i="15"/>
  <c r="F100" i="15" s="1"/>
  <c r="C102" i="17"/>
  <c r="D283" i="18"/>
  <c r="E320" i="18"/>
  <c r="D46" i="20"/>
  <c r="D27" i="8"/>
  <c r="F73" i="11"/>
  <c r="E179" i="17"/>
  <c r="F179" i="17"/>
  <c r="C242" i="18"/>
  <c r="E242" i="18" s="1"/>
  <c r="C217" i="18"/>
  <c r="D102" i="22"/>
  <c r="D103" i="22" s="1"/>
  <c r="E50" i="15"/>
  <c r="F50" i="15" s="1"/>
  <c r="C101" i="22"/>
  <c r="C103" i="22" s="1"/>
  <c r="D88" i="22"/>
  <c r="E22" i="11"/>
  <c r="F22" i="11" s="1"/>
  <c r="E32" i="12"/>
  <c r="E70" i="15"/>
  <c r="F70" i="15" s="1"/>
  <c r="E203" i="17"/>
  <c r="F203" i="17" s="1"/>
  <c r="E279" i="18"/>
  <c r="E77" i="22"/>
  <c r="F55" i="15"/>
  <c r="F24" i="17"/>
  <c r="E164" i="17"/>
  <c r="E230" i="17"/>
  <c r="F230" i="17" s="1"/>
  <c r="C144" i="18"/>
  <c r="E301" i="18"/>
  <c r="E216" i="17" l="1"/>
  <c r="E40" i="22"/>
  <c r="E36" i="22"/>
  <c r="E30" i="22"/>
  <c r="E46" i="22"/>
  <c r="E54" i="22"/>
  <c r="E156" i="18"/>
  <c r="D157" i="18"/>
  <c r="E157" i="18" s="1"/>
  <c r="E208" i="17"/>
  <c r="D139" i="8"/>
  <c r="D135" i="8"/>
  <c r="D138" i="8"/>
  <c r="D140" i="8"/>
  <c r="D211" i="18"/>
  <c r="E210" i="18"/>
  <c r="D255" i="17"/>
  <c r="E255" i="17" s="1"/>
  <c r="F255" i="17" s="1"/>
  <c r="E215" i="17"/>
  <c r="F215" i="17" s="1"/>
  <c r="C265" i="17"/>
  <c r="F285" i="17"/>
  <c r="D168" i="18"/>
  <c r="D180" i="18"/>
  <c r="D145" i="18"/>
  <c r="D169" i="18" s="1"/>
  <c r="D300" i="17"/>
  <c r="E264" i="17"/>
  <c r="F159" i="17"/>
  <c r="C160" i="17"/>
  <c r="E160" i="17" s="1"/>
  <c r="F160" i="17" s="1"/>
  <c r="C279" i="17"/>
  <c r="D158" i="8"/>
  <c r="C272" i="17"/>
  <c r="F269" i="17"/>
  <c r="F208" i="9"/>
  <c r="E208" i="9"/>
  <c r="E243" i="18"/>
  <c r="D252" i="18"/>
  <c r="D254" i="18" s="1"/>
  <c r="E284" i="18"/>
  <c r="F205" i="17"/>
  <c r="H31" i="14"/>
  <c r="E174" i="17"/>
  <c r="E21" i="13"/>
  <c r="E20" i="13"/>
  <c r="E22" i="13"/>
  <c r="D209" i="17"/>
  <c r="E209" i="17" s="1"/>
  <c r="D210" i="17"/>
  <c r="E199" i="17"/>
  <c r="F199" i="17" s="1"/>
  <c r="D116" i="18"/>
  <c r="D117" i="18" s="1"/>
  <c r="E205" i="17"/>
  <c r="E53" i="22"/>
  <c r="E45" i="22"/>
  <c r="E35" i="22"/>
  <c r="E39" i="22"/>
  <c r="E29" i="22"/>
  <c r="E269" i="17"/>
  <c r="D270" i="17"/>
  <c r="E270" i="17" s="1"/>
  <c r="F270" i="17" s="1"/>
  <c r="F264" i="17"/>
  <c r="E158" i="8"/>
  <c r="C140" i="8"/>
  <c r="C136" i="8"/>
  <c r="C139" i="8"/>
  <c r="C138" i="8"/>
  <c r="C137" i="8"/>
  <c r="C135" i="8"/>
  <c r="D24" i="13"/>
  <c r="D20" i="13" s="1"/>
  <c r="D17" i="13"/>
  <c r="D28" i="13" s="1"/>
  <c r="C209" i="17"/>
  <c r="E263" i="17"/>
  <c r="C288" i="17"/>
  <c r="E288" i="17" s="1"/>
  <c r="E140" i="8"/>
  <c r="E139" i="8"/>
  <c r="E137" i="8"/>
  <c r="C76" i="18"/>
  <c r="C259" i="18" s="1"/>
  <c r="E259" i="18" s="1"/>
  <c r="D136" i="8"/>
  <c r="E135" i="8"/>
  <c r="F208" i="17"/>
  <c r="D272" i="17"/>
  <c r="D287" i="17"/>
  <c r="E287" i="17" s="1"/>
  <c r="D286" i="17"/>
  <c r="E286" i="17" s="1"/>
  <c r="F286" i="17" s="1"/>
  <c r="D284" i="17"/>
  <c r="E284" i="17" s="1"/>
  <c r="F284" i="17" s="1"/>
  <c r="D109" i="22"/>
  <c r="D108" i="22"/>
  <c r="E200" i="17"/>
  <c r="F200" i="17"/>
  <c r="C263" i="18"/>
  <c r="C21" i="8"/>
  <c r="C22" i="8"/>
  <c r="C20" i="8"/>
  <c r="E62" i="17"/>
  <c r="F62" i="17" s="1"/>
  <c r="D63" i="17"/>
  <c r="D99" i="18"/>
  <c r="E99" i="18" s="1"/>
  <c r="D89" i="18"/>
  <c r="D95" i="18"/>
  <c r="D98" i="18"/>
  <c r="E98" i="18" s="1"/>
  <c r="D83" i="18"/>
  <c r="D96" i="18"/>
  <c r="D88" i="18"/>
  <c r="D258" i="18"/>
  <c r="E44" i="18"/>
  <c r="D97" i="18"/>
  <c r="D100" i="18"/>
  <c r="D85" i="18"/>
  <c r="D87" i="18"/>
  <c r="E87" i="18" s="1"/>
  <c r="D101" i="18"/>
  <c r="D86" i="18"/>
  <c r="D84" i="18"/>
  <c r="E75" i="4"/>
  <c r="E300" i="17"/>
  <c r="F300" i="17" s="1"/>
  <c r="C92" i="17"/>
  <c r="F91" i="17"/>
  <c r="C89" i="18"/>
  <c r="C95" i="18"/>
  <c r="C100" i="18"/>
  <c r="C84" i="18"/>
  <c r="C85" i="18"/>
  <c r="C98" i="18"/>
  <c r="C97" i="18"/>
  <c r="C96" i="18"/>
  <c r="C102" i="18" s="1"/>
  <c r="C258" i="18"/>
  <c r="C87" i="18"/>
  <c r="C99" i="18"/>
  <c r="C88" i="18"/>
  <c r="C83" i="18"/>
  <c r="C101" i="18"/>
  <c r="C86" i="18"/>
  <c r="C158" i="8"/>
  <c r="D291" i="17"/>
  <c r="D289" i="17"/>
  <c r="F174" i="17"/>
  <c r="C63" i="17"/>
  <c r="C42" i="12"/>
  <c r="E109" i="22"/>
  <c r="E112" i="22"/>
  <c r="E110" i="22"/>
  <c r="E108" i="22"/>
  <c r="E111" i="22"/>
  <c r="D111" i="22"/>
  <c r="D46" i="22"/>
  <c r="D40" i="22"/>
  <c r="D54" i="22"/>
  <c r="D36" i="22"/>
  <c r="D30" i="22"/>
  <c r="E34" i="12"/>
  <c r="F34" i="12" s="1"/>
  <c r="E268" i="17"/>
  <c r="F268" i="17" s="1"/>
  <c r="E283" i="18"/>
  <c r="F95" i="7"/>
  <c r="D39" i="22"/>
  <c r="D35" i="22"/>
  <c r="D29" i="22"/>
  <c r="D110" i="22"/>
  <c r="D53" i="22"/>
  <c r="D45" i="22"/>
  <c r="C291" i="17"/>
  <c r="F287" i="17"/>
  <c r="C43" i="11"/>
  <c r="F41" i="11"/>
  <c r="D141" i="17"/>
  <c r="E140" i="17"/>
  <c r="F140" i="17" s="1"/>
  <c r="D49" i="12"/>
  <c r="E42" i="12"/>
  <c r="E95" i="7"/>
  <c r="F263" i="17"/>
  <c r="E254" i="17"/>
  <c r="F254" i="17" s="1"/>
  <c r="D129" i="18"/>
  <c r="C17" i="13"/>
  <c r="C28" i="13" s="1"/>
  <c r="C24" i="13"/>
  <c r="C20" i="13" s="1"/>
  <c r="C281" i="17"/>
  <c r="D193" i="17"/>
  <c r="E192" i="17"/>
  <c r="F192" i="17" s="1"/>
  <c r="E65" i="4"/>
  <c r="F65" i="4" s="1"/>
  <c r="E161" i="17"/>
  <c r="F161" i="17" s="1"/>
  <c r="C162" i="17"/>
  <c r="C75" i="4"/>
  <c r="C127" i="17"/>
  <c r="C180" i="18"/>
  <c r="C168" i="18"/>
  <c r="E168" i="18" s="1"/>
  <c r="C145" i="18"/>
  <c r="E144" i="18"/>
  <c r="C103" i="17"/>
  <c r="E102" i="17"/>
  <c r="F102" i="17" s="1"/>
  <c r="C246" i="18"/>
  <c r="E246" i="18" s="1"/>
  <c r="C223" i="18"/>
  <c r="C247" i="18" s="1"/>
  <c r="I31" i="14"/>
  <c r="E139" i="17"/>
  <c r="F139" i="17" s="1"/>
  <c r="E303" i="18"/>
  <c r="C273" i="17"/>
  <c r="F271" i="17"/>
  <c r="E261" i="18"/>
  <c r="D263" i="18"/>
  <c r="E141" i="8"/>
  <c r="H33" i="14"/>
  <c r="H36" i="14" s="1"/>
  <c r="H38" i="14" s="1"/>
  <c r="H40" i="14" s="1"/>
  <c r="C36" i="14"/>
  <c r="C38" i="14" s="1"/>
  <c r="C40" i="14" s="1"/>
  <c r="I33" i="14"/>
  <c r="I36" i="14" s="1"/>
  <c r="I38" i="14" s="1"/>
  <c r="I40" i="14" s="1"/>
  <c r="D247" i="18"/>
  <c r="F216" i="17"/>
  <c r="F21" i="5"/>
  <c r="C35" i="5"/>
  <c r="E49" i="17"/>
  <c r="F49" i="17" s="1"/>
  <c r="C50" i="17"/>
  <c r="E304" i="17"/>
  <c r="F304" i="17" s="1"/>
  <c r="E217" i="18"/>
  <c r="C241" i="18"/>
  <c r="E241" i="18" s="1"/>
  <c r="D21" i="8"/>
  <c r="D20" i="8"/>
  <c r="D22" i="8"/>
  <c r="C77" i="18"/>
  <c r="E76" i="18"/>
  <c r="D125" i="17"/>
  <c r="E125" i="17" s="1"/>
  <c r="F125" i="17" s="1"/>
  <c r="E124" i="17"/>
  <c r="F124" i="17" s="1"/>
  <c r="D126" i="17"/>
  <c r="E306" i="18"/>
  <c r="C310" i="18"/>
  <c r="E310" i="18" s="1"/>
  <c r="E66" i="18"/>
  <c r="D295" i="18"/>
  <c r="E295" i="18" s="1"/>
  <c r="E99" i="8"/>
  <c r="E101" i="8" s="1"/>
  <c r="E98" i="8" s="1"/>
  <c r="E22" i="8"/>
  <c r="E254" i="18"/>
  <c r="E272" i="17" l="1"/>
  <c r="D273" i="17"/>
  <c r="E273" i="17" s="1"/>
  <c r="E252" i="18"/>
  <c r="E85" i="18"/>
  <c r="E263" i="18"/>
  <c r="C141" i="8"/>
  <c r="D181" i="18"/>
  <c r="E211" i="18"/>
  <c r="D235" i="18"/>
  <c r="E235" i="18" s="1"/>
  <c r="C289" i="17"/>
  <c r="E289" i="17" s="1"/>
  <c r="F272" i="17"/>
  <c r="E180" i="18"/>
  <c r="F288" i="17"/>
  <c r="E97" i="18"/>
  <c r="E55" i="22"/>
  <c r="E37" i="22"/>
  <c r="E47" i="22"/>
  <c r="E210" i="17"/>
  <c r="F210" i="17" s="1"/>
  <c r="D211" i="17"/>
  <c r="E211" i="17" s="1"/>
  <c r="F211" i="17" s="1"/>
  <c r="E56" i="22"/>
  <c r="E38" i="22"/>
  <c r="E113" i="22"/>
  <c r="E48" i="22"/>
  <c r="E247" i="18"/>
  <c r="F209" i="17"/>
  <c r="E279" i="17"/>
  <c r="F279" i="17" s="1"/>
  <c r="E101" i="18"/>
  <c r="D141" i="8"/>
  <c r="D70" i="13"/>
  <c r="D72" i="13" s="1"/>
  <c r="D69" i="13" s="1"/>
  <c r="D22" i="13"/>
  <c r="C90" i="18"/>
  <c r="C91" i="18" s="1"/>
  <c r="C105" i="18" s="1"/>
  <c r="E83" i="18"/>
  <c r="E63" i="17"/>
  <c r="F63" i="17" s="1"/>
  <c r="D70" i="17"/>
  <c r="D56" i="22"/>
  <c r="D113" i="22"/>
  <c r="D48" i="22"/>
  <c r="D38" i="22"/>
  <c r="E126" i="17"/>
  <c r="F126" i="17" s="1"/>
  <c r="D127" i="17"/>
  <c r="E223" i="18"/>
  <c r="F273" i="17"/>
  <c r="C103" i="18"/>
  <c r="E100" i="18"/>
  <c r="E95" i="18"/>
  <c r="C43" i="5"/>
  <c r="E35" i="5"/>
  <c r="F35" i="5" s="1"/>
  <c r="C148" i="17"/>
  <c r="C197" i="17"/>
  <c r="D131" i="18"/>
  <c r="C264" i="18"/>
  <c r="C266" i="18" s="1"/>
  <c r="C267" i="18"/>
  <c r="E89" i="18"/>
  <c r="D282" i="17"/>
  <c r="D266" i="17"/>
  <c r="E193" i="17"/>
  <c r="F193" i="17" s="1"/>
  <c r="D194" i="17"/>
  <c r="F42" i="12"/>
  <c r="C49" i="12"/>
  <c r="C105" i="17"/>
  <c r="C104" i="17"/>
  <c r="E103" i="17"/>
  <c r="F103" i="17" s="1"/>
  <c r="F75" i="4"/>
  <c r="E92" i="17"/>
  <c r="F92" i="17" s="1"/>
  <c r="D90" i="18"/>
  <c r="D91" i="18" s="1"/>
  <c r="E84" i="18"/>
  <c r="D264" i="18"/>
  <c r="E258" i="18"/>
  <c r="C114" i="18"/>
  <c r="E114" i="18" s="1"/>
  <c r="C113" i="18"/>
  <c r="E113" i="18" s="1"/>
  <c r="C127" i="18"/>
  <c r="E127" i="18" s="1"/>
  <c r="C126" i="18"/>
  <c r="E126" i="18" s="1"/>
  <c r="C125" i="18"/>
  <c r="E125" i="18" s="1"/>
  <c r="C115" i="18"/>
  <c r="E115" i="18" s="1"/>
  <c r="C112" i="18"/>
  <c r="E112" i="18" s="1"/>
  <c r="C110" i="18"/>
  <c r="C121" i="18"/>
  <c r="C123" i="18"/>
  <c r="E123" i="18" s="1"/>
  <c r="C111" i="18"/>
  <c r="E111" i="18" s="1"/>
  <c r="C124" i="18"/>
  <c r="E124" i="18" s="1"/>
  <c r="C122" i="18"/>
  <c r="C109" i="18"/>
  <c r="E77" i="18"/>
  <c r="D322" i="17"/>
  <c r="E141" i="17"/>
  <c r="F141" i="17" s="1"/>
  <c r="E86" i="18"/>
  <c r="E88" i="18"/>
  <c r="C70" i="17"/>
  <c r="E50" i="17"/>
  <c r="F50" i="17" s="1"/>
  <c r="C70" i="13"/>
  <c r="C72" i="13" s="1"/>
  <c r="C69" i="13" s="1"/>
  <c r="C22" i="13"/>
  <c r="C305" i="17"/>
  <c r="E291" i="17"/>
  <c r="F291" i="17" s="1"/>
  <c r="D305" i="17"/>
  <c r="E49" i="12"/>
  <c r="E43" i="11"/>
  <c r="F43" i="11" s="1"/>
  <c r="C181" i="18"/>
  <c r="E181" i="18" s="1"/>
  <c r="E145" i="18"/>
  <c r="C169" i="18"/>
  <c r="E169" i="18" s="1"/>
  <c r="C183" i="17"/>
  <c r="C323" i="17"/>
  <c r="E162" i="17"/>
  <c r="F162" i="17" s="1"/>
  <c r="D47" i="22"/>
  <c r="D37" i="22"/>
  <c r="D112" i="22"/>
  <c r="D55" i="22"/>
  <c r="E96" i="18"/>
  <c r="D102" i="18"/>
  <c r="E102" i="18" s="1"/>
  <c r="F289" i="17" l="1"/>
  <c r="D195" i="17"/>
  <c r="E195" i="17" s="1"/>
  <c r="F195" i="17" s="1"/>
  <c r="D196" i="17"/>
  <c r="E194" i="17"/>
  <c r="F194" i="17" s="1"/>
  <c r="E91" i="18"/>
  <c r="E109" i="18"/>
  <c r="E264" i="18"/>
  <c r="D266" i="18"/>
  <c r="E266" i="17"/>
  <c r="F266" i="17" s="1"/>
  <c r="D265" i="17"/>
  <c r="E265" i="17" s="1"/>
  <c r="F265" i="17" s="1"/>
  <c r="E90" i="18"/>
  <c r="E104" i="17"/>
  <c r="F104" i="17" s="1"/>
  <c r="E183" i="17"/>
  <c r="F183" i="17" s="1"/>
  <c r="C106" i="17"/>
  <c r="E105" i="17"/>
  <c r="F105" i="17" s="1"/>
  <c r="C269" i="18"/>
  <c r="C268" i="18"/>
  <c r="E127" i="17"/>
  <c r="F127" i="17" s="1"/>
  <c r="D148" i="17"/>
  <c r="E148" i="17" s="1"/>
  <c r="F148" i="17" s="1"/>
  <c r="E121" i="18"/>
  <c r="F49" i="12"/>
  <c r="E70" i="17"/>
  <c r="F70" i="17" s="1"/>
  <c r="E323" i="17"/>
  <c r="F323" i="17" s="1"/>
  <c r="E305" i="17"/>
  <c r="F305" i="17" s="1"/>
  <c r="D309" i="17"/>
  <c r="C128" i="18"/>
  <c r="E128" i="18" s="1"/>
  <c r="E122" i="18"/>
  <c r="E282" i="17"/>
  <c r="F282" i="17" s="1"/>
  <c r="D281" i="17"/>
  <c r="E281" i="17" s="1"/>
  <c r="F281" i="17" s="1"/>
  <c r="C309" i="17"/>
  <c r="C50" i="5"/>
  <c r="F43" i="5"/>
  <c r="E43" i="5"/>
  <c r="E322" i="17"/>
  <c r="F322" i="17" s="1"/>
  <c r="D325" i="17"/>
  <c r="C116" i="18"/>
  <c r="E116" i="18" s="1"/>
  <c r="E110" i="18"/>
  <c r="D103" i="18"/>
  <c r="E103" i="18" s="1"/>
  <c r="C310" i="17" l="1"/>
  <c r="C271" i="18"/>
  <c r="C117" i="18"/>
  <c r="E50" i="5"/>
  <c r="F50" i="5" s="1"/>
  <c r="D105" i="18"/>
  <c r="E105" i="18" s="1"/>
  <c r="E106" i="17"/>
  <c r="F106" i="17" s="1"/>
  <c r="C113" i="17"/>
  <c r="C324" i="17"/>
  <c r="D197" i="17"/>
  <c r="E197" i="17" s="1"/>
  <c r="F197" i="17" s="1"/>
  <c r="E196" i="17"/>
  <c r="F196" i="17" s="1"/>
  <c r="E309" i="17"/>
  <c r="F309" i="17" s="1"/>
  <c r="D310" i="17"/>
  <c r="C129" i="18"/>
  <c r="E129" i="18" s="1"/>
  <c r="E266" i="18"/>
  <c r="D267" i="18"/>
  <c r="D312" i="17" l="1"/>
  <c r="E310" i="17"/>
  <c r="C325" i="17"/>
  <c r="E324" i="17"/>
  <c r="F324" i="17" s="1"/>
  <c r="E113" i="17"/>
  <c r="F113" i="17" s="1"/>
  <c r="C131" i="18"/>
  <c r="E131" i="18" s="1"/>
  <c r="E117" i="18"/>
  <c r="E267" i="18"/>
  <c r="D268" i="18"/>
  <c r="D269" i="18"/>
  <c r="E269" i="18" s="1"/>
  <c r="F310" i="17"/>
  <c r="C312" i="17"/>
  <c r="C313" i="17" l="1"/>
  <c r="E312" i="17"/>
  <c r="F312" i="17" s="1"/>
  <c r="D313" i="17"/>
  <c r="E325" i="17"/>
  <c r="F325" i="17" s="1"/>
  <c r="E268" i="18"/>
  <c r="D271" i="18"/>
  <c r="E271" i="18" s="1"/>
  <c r="D314" i="17" l="1"/>
  <c r="E313" i="17"/>
  <c r="D251" i="17"/>
  <c r="D315" i="17"/>
  <c r="D256" i="17"/>
  <c r="C314" i="17"/>
  <c r="C315" i="17"/>
  <c r="F313" i="17"/>
  <c r="C251" i="17"/>
  <c r="C256" i="17"/>
  <c r="E314" i="17" l="1"/>
  <c r="D318" i="17"/>
  <c r="E256" i="17"/>
  <c r="D257" i="17"/>
  <c r="E257" i="17" s="1"/>
  <c r="F251" i="17"/>
  <c r="F315" i="17"/>
  <c r="F314" i="17"/>
  <c r="C318" i="17"/>
  <c r="E315" i="17"/>
  <c r="E251" i="17"/>
  <c r="C257" i="17"/>
  <c r="F256" i="17"/>
  <c r="F257" i="17" l="1"/>
  <c r="E318" i="17"/>
  <c r="F318" i="17" s="1"/>
</calcChain>
</file>

<file path=xl/sharedStrings.xml><?xml version="1.0" encoding="utf-8"?>
<sst xmlns="http://schemas.openxmlformats.org/spreadsheetml/2006/main" count="2333" uniqueCount="1008">
  <si>
    <t>JOHN DEMPSEY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</si>
  <si>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</si>
  <si>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</si>
  <si>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</si>
  <si>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</si>
  <si>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</si>
  <si>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</si>
  <si>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</si>
  <si>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</si>
  <si>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</si>
  <si>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</si>
  <si>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</si>
  <si>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</si>
  <si>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</si>
  <si>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</si>
  <si>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</si>
  <si>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</si>
  <si>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</si>
  <si>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</si>
  <si>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</si>
  <si>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</si>
  <si>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</si>
  <si>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</si>
  <si>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</si>
  <si>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</si>
  <si>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</si>
  <si>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</si>
  <si>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</si>
  <si>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</si>
  <si>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</si>
  <si>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</si>
  <si>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</si>
  <si>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</si>
  <si>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</si>
  <si>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</si>
  <si>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</si>
  <si>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</si>
  <si>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</si>
  <si>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</si>
  <si>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</si>
  <si>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</si>
  <si>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</si>
  <si>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</si>
  <si>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</si>
  <si>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</si>
  <si>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</si>
  <si>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</si>
  <si>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</si>
  <si>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</si>
  <si>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</si>
  <si>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</si>
  <si>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</si>
  <si>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</si>
  <si>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</si>
  <si>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</si>
  <si>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</si>
  <si>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</si>
  <si>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</si>
  <si>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</si>
  <si>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</si>
  <si>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</si>
  <si>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</si>
  <si>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</si>
  <si>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</si>
  <si>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</si>
  <si>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</si>
  <si>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</si>
  <si>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</si>
  <si>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</si>
  <si>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</si>
  <si>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</si>
  <si>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</si>
  <si>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</si>
  <si>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</si>
  <si>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</si>
  <si>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</si>
  <si>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</si>
  <si>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</si>
  <si>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</si>
  <si>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</si>
  <si>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</si>
  <si>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</si>
  <si>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</si>
  <si>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</si>
  <si>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</si>
  <si>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</si>
  <si>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</si>
  <si>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</si>
  <si>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</si>
  <si>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</si>
  <si>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</si>
  <si>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</si>
  <si>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</si>
  <si>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</si>
  <si>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</si>
  <si>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</si>
  <si>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</si>
  <si>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</si>
  <si>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</si>
  <si>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</si>
  <si>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</si>
  <si>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</si>
  <si>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</si>
  <si>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</si>
  <si>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</si>
  <si>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</si>
  <si>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</si>
  <si>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</si>
  <si>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</si>
  <si>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</si>
  <si>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</si>
  <si>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</si>
  <si>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</si>
  <si>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</si>
  <si>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</si>
  <si>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</si>
  <si>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</si>
  <si>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</si>
  <si>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</si>
  <si>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</si>
  <si>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</si>
  <si>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</si>
  <si>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</si>
  <si>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</si>
  <si>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</si>
  <si>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</si>
  <si>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</si>
  <si>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</si>
  <si>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</si>
  <si>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</si>
  <si>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</si>
  <si>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</si>
  <si>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</si>
  <si>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</si>
  <si>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</si>
  <si>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</si>
  <si>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</si>
  <si>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</si>
  <si>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</si>
  <si>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</si>
  <si>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</si>
  <si>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</si>
  <si>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</si>
  <si>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</si>
  <si>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</si>
  <si>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</si>
  <si>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</si>
  <si>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</si>
  <si>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</si>
  <si>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</si>
  <si>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</si>
  <si>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</si>
  <si>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</si>
  <si>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</si>
  <si>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</si>
  <si>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</si>
  <si>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</si>
  <si>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</si>
  <si>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</si>
  <si>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</si>
  <si>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</si>
  <si>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</si>
  <si>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</si>
  <si>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</si>
  <si>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</si>
  <si>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</si>
  <si>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</si>
  <si>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</si>
  <si>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</si>
  <si>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</si>
  <si>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</si>
  <si>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</si>
  <si>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</si>
  <si>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</si>
  <si>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</si>
  <si>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</si>
  <si>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</si>
  <si>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</si>
  <si>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</si>
  <si>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</si>
  <si>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</si>
  <si>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</si>
  <si>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</si>
  <si>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</si>
  <si>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</si>
  <si>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</si>
  <si>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</si>
  <si>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</si>
  <si>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</si>
  <si>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</si>
  <si>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</si>
  <si>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</si>
  <si>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</si>
  <si>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</si>
  <si>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</si>
  <si>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</si>
  <si>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</si>
  <si>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</si>
  <si>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</si>
  <si>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</si>
  <si>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</si>
  <si>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</si>
  <si>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</si>
  <si>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</si>
  <si>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</si>
  <si>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</si>
  <si>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</si>
  <si>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</si>
  <si>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</si>
  <si>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</si>
  <si>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</si>
  <si>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</si>
  <si>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</si>
  <si>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</si>
  <si>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</si>
  <si>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</si>
  <si>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</si>
  <si>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</si>
  <si>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</si>
  <si>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</si>
  <si>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</si>
  <si>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</si>
  <si>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</si>
  <si>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</si>
  <si>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</si>
  <si>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</si>
  <si>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</si>
  <si>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</si>
  <si>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</si>
  <si>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</si>
  <si>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</si>
  <si>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</si>
  <si>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</si>
  <si>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</si>
  <si>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</si>
  <si>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</si>
  <si>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</si>
  <si>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</si>
  <si>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</si>
  <si>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</si>
  <si>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</si>
  <si>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</si>
  <si>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</si>
  <si>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</si>
  <si>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</si>
  <si>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</si>
  <si>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</si>
  <si>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</si>
  <si>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</si>
  <si>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</si>
  <si>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</si>
  <si>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</si>
  <si>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</si>
  <si>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</si>
  <si>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</si>
  <si>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</si>
  <si>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</si>
  <si>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</si>
  <si>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</si>
  <si>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</si>
  <si>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</si>
  <si>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</si>
  <si>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</si>
  <si>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</si>
  <si>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</si>
  <si>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</si>
  <si>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</si>
  <si>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</si>
  <si>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</si>
  <si>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</si>
  <si>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</si>
  <si>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</si>
  <si>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</si>
  <si>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</si>
  <si>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</si>
  <si>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</si>
  <si>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</si>
  <si>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</si>
  <si>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</si>
  <si>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</si>
  <si>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</si>
  <si>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</si>
  <si>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</si>
  <si>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</si>
  <si>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</si>
  <si>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</si>
  <si>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</si>
  <si>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</si>
  <si>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</si>
  <si>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</si>
  <si>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</si>
  <si>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</si>
  <si>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</si>
  <si>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</si>
  <si>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</si>
  <si>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</si>
  <si>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</si>
  <si>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</si>
  <si>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</si>
  <si>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</si>
  <si>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</si>
  <si>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</si>
  <si>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</si>
  <si>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</si>
  <si>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</si>
  <si>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</si>
  <si>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</si>
  <si>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</si>
  <si>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</si>
  <si>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</si>
  <si>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</si>
  <si>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</si>
  <si>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</si>
  <si>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</si>
  <si>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</si>
  <si>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</si>
  <si>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</si>
  <si>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</si>
  <si>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</si>
  <si>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</si>
  <si>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</si>
  <si>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</si>
  <si>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</si>
  <si>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</si>
  <si>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</si>
  <si>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</si>
  <si>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</si>
  <si>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</si>
  <si>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</si>
  <si>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</si>
  <si>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</si>
  <si>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</si>
  <si>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</si>
  <si>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</si>
  <si>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</si>
  <si>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</si>
  <si>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</si>
  <si>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</si>
  <si>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</si>
  <si>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</si>
  <si>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</si>
  <si>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</si>
  <si>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</si>
  <si>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</si>
  <si>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</si>
  <si>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</si>
  <si>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</si>
  <si>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</si>
  <si>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</si>
  <si>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</si>
  <si>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</si>
  <si>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</si>
  <si>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</si>
  <si>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</si>
  <si>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</si>
  <si>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</si>
  <si>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</si>
  <si>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</si>
  <si>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</si>
  <si>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</si>
  <si>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</si>
  <si>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</si>
  <si>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</si>
  <si>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</si>
  <si>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</si>
  <si>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</si>
  <si>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</si>
  <si>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</si>
  <si>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</si>
  <si>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</si>
  <si>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</si>
  <si>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</si>
  <si>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</si>
  <si>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</si>
  <si>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</si>
  <si>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</si>
  <si>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</si>
  <si>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</si>
  <si>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</si>
  <si>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</si>
  <si>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</si>
  <si>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</si>
  <si>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</si>
  <si>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</si>
  <si>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</si>
  <si>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</si>
  <si>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</si>
  <si>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</si>
  <si>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</si>
  <si>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</si>
  <si>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</si>
  <si>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</si>
  <si>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</si>
  <si>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</si>
  <si>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</si>
  <si>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</si>
  <si>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</si>
  <si>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</si>
  <si>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</si>
  <si>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</si>
  <si>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</si>
  <si>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</si>
  <si>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</si>
  <si>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</si>
  <si>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</si>
  <si>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</si>
  <si>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</si>
  <si>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</si>
  <si>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</si>
  <si>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</si>
  <si>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</si>
  <si>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</si>
  <si>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</si>
  <si>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</si>
  <si>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</si>
  <si>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</si>
  <si>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</si>
  <si>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</si>
  <si>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</si>
  <si>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</si>
  <si>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</si>
  <si>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</si>
  <si>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</si>
  <si>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</si>
  <si>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</si>
  <si>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</si>
  <si>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</si>
  <si>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</si>
  <si>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</si>
  <si>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</si>
  <si>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</si>
  <si>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</si>
  <si>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</si>
  <si>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</si>
  <si>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</si>
  <si>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</si>
  <si>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</si>
  <si>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</si>
  <si>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</si>
  <si>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</si>
  <si>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</si>
  <si>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</si>
  <si>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</si>
  <si>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</si>
  <si>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</si>
  <si>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</si>
  <si>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</si>
  <si>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</si>
  <si>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</si>
  <si>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</si>
  <si>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</si>
  <si>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</si>
  <si>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</si>
  <si>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</si>
  <si>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</si>
  <si>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</si>
  <si>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</si>
  <si>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</si>
  <si>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</si>
  <si>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</si>
  <si>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</si>
  <si>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</si>
  <si>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</si>
  <si>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</si>
  <si>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</si>
  <si>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</si>
  <si>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</si>
  <si>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</si>
  <si>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</si>
  <si>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</si>
  <si>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</si>
  <si>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</si>
  <si>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</si>
  <si>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</si>
  <si>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</si>
  <si>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</si>
  <si>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</si>
  <si>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</si>
  <si>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</si>
  <si>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</si>
  <si>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</si>
  <si>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</si>
  <si>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</si>
  <si>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</si>
  <si>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</si>
  <si>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</si>
  <si>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</si>
  <si>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</si>
  <si>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</si>
  <si>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</si>
  <si>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</si>
  <si>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</si>
  <si>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</si>
  <si>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</si>
  <si>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</si>
  <si>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</si>
  <si>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</si>
  <si>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</si>
  <si>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</si>
  <si>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</si>
  <si>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UNIVERSITY OF CONNECTICUT HEALTH CENTER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</si>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</sst>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8" sqref="B38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24305080</v>
      </c>
      <c r="D13" s="22">
        <v>35947283</v>
      </c>
      <c r="E13" s="22">
        <f t="shared" ref="E13:E22" si="0">D13-C13</f>
        <v>11642203</v>
      </c>
      <c r="F13" s="23">
        <f t="shared" ref="F13:F22" si="1">IF(C13=0,0,E13/C13)</f>
        <v>0.47900286689037846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38296752</v>
      </c>
      <c r="D15" s="22">
        <v>40048674</v>
      </c>
      <c r="E15" s="22">
        <f t="shared" si="0"/>
        <v>1751922</v>
      </c>
      <c r="F15" s="23">
        <f t="shared" si="1"/>
        <v>4.5745968222057058E-2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5710122</v>
      </c>
      <c r="D17" s="22">
        <v>5703122</v>
      </c>
      <c r="E17" s="22">
        <f t="shared" si="0"/>
        <v>-7000</v>
      </c>
      <c r="F17" s="23">
        <f t="shared" si="1"/>
        <v>-1.2258932471145101E-3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7446576</v>
      </c>
      <c r="D19" s="22">
        <v>8953005</v>
      </c>
      <c r="E19" s="22">
        <f t="shared" si="0"/>
        <v>1506429</v>
      </c>
      <c r="F19" s="23">
        <f t="shared" si="1"/>
        <v>0.20229821061384454</v>
      </c>
    </row>
    <row r="20" spans="1:11" ht="24" customHeight="1" x14ac:dyDescent="0.2">
      <c r="A20" s="20">
        <v>8</v>
      </c>
      <c r="B20" s="21" t="s">
        <v>23</v>
      </c>
      <c r="C20" s="22">
        <v>5445640</v>
      </c>
      <c r="D20" s="22">
        <v>5912325</v>
      </c>
      <c r="E20" s="22">
        <f t="shared" si="0"/>
        <v>466685</v>
      </c>
      <c r="F20" s="23">
        <f t="shared" si="1"/>
        <v>8.5698834296795229E-2</v>
      </c>
    </row>
    <row r="21" spans="1:11" ht="24" customHeight="1" x14ac:dyDescent="0.2">
      <c r="A21" s="20">
        <v>9</v>
      </c>
      <c r="B21" s="21" t="s">
        <v>24</v>
      </c>
      <c r="C21" s="22">
        <v>8017666</v>
      </c>
      <c r="D21" s="22">
        <v>8840322</v>
      </c>
      <c r="E21" s="22">
        <f t="shared" si="0"/>
        <v>822656</v>
      </c>
      <c r="F21" s="23">
        <f t="shared" si="1"/>
        <v>0.10260542157780082</v>
      </c>
    </row>
    <row r="22" spans="1:11" ht="24" customHeight="1" x14ac:dyDescent="0.25">
      <c r="A22" s="24"/>
      <c r="B22" s="25" t="s">
        <v>25</v>
      </c>
      <c r="C22" s="26">
        <f>SUM(C13:C21)</f>
        <v>89221836</v>
      </c>
      <c r="D22" s="26">
        <f>SUM(D13:D21)</f>
        <v>105404731</v>
      </c>
      <c r="E22" s="26">
        <f t="shared" si="0"/>
        <v>16182895</v>
      </c>
      <c r="F22" s="27">
        <f t="shared" si="1"/>
        <v>0.18137818863086386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16039083</v>
      </c>
      <c r="D28" s="22">
        <v>50380333</v>
      </c>
      <c r="E28" s="22">
        <f>D28-C28</f>
        <v>34341250</v>
      </c>
      <c r="F28" s="23">
        <f>IF(C28=0,0,E28/C28)</f>
        <v>2.1410980914557274</v>
      </c>
    </row>
    <row r="29" spans="1:11" ht="24" customHeight="1" x14ac:dyDescent="0.25">
      <c r="A29" s="24"/>
      <c r="B29" s="25" t="s">
        <v>32</v>
      </c>
      <c r="C29" s="26">
        <f>SUM(C25:C28)</f>
        <v>16039083</v>
      </c>
      <c r="D29" s="26">
        <f>SUM(D25:D28)</f>
        <v>50380333</v>
      </c>
      <c r="E29" s="26">
        <f>D29-C29</f>
        <v>34341250</v>
      </c>
      <c r="F29" s="27">
        <f>IF(C29=0,0,E29/C29)</f>
        <v>2.1410980914557274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9801413</v>
      </c>
      <c r="D33" s="22">
        <v>9839253</v>
      </c>
      <c r="E33" s="22">
        <f>D33-C33</f>
        <v>37840</v>
      </c>
      <c r="F33" s="23">
        <f>IF(C33=0,0,E33/C33)</f>
        <v>3.8606678445240496E-3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178862292</v>
      </c>
      <c r="D36" s="22">
        <v>453265861</v>
      </c>
      <c r="E36" s="22">
        <f>D36-C36</f>
        <v>274403569</v>
      </c>
      <c r="F36" s="23">
        <f>IF(C36=0,0,E36/C36)</f>
        <v>1.5341610908128136</v>
      </c>
    </row>
    <row r="37" spans="1:8" ht="24" customHeight="1" x14ac:dyDescent="0.2">
      <c r="A37" s="20">
        <v>2</v>
      </c>
      <c r="B37" s="21" t="s">
        <v>39</v>
      </c>
      <c r="C37" s="22">
        <v>143073377</v>
      </c>
      <c r="D37" s="22">
        <v>145688175</v>
      </c>
      <c r="E37" s="22">
        <f>D37-C37</f>
        <v>2614798</v>
      </c>
      <c r="F37" s="23">
        <f>IF(C37=0,0,E37/C37)</f>
        <v>1.8275922850412626E-2</v>
      </c>
    </row>
    <row r="38" spans="1:8" ht="24" customHeight="1" x14ac:dyDescent="0.25">
      <c r="A38" s="24"/>
      <c r="B38" s="25" t="s">
        <v>40</v>
      </c>
      <c r="C38" s="26">
        <f>C36-C37</f>
        <v>35788915</v>
      </c>
      <c r="D38" s="26">
        <f>D36-D37</f>
        <v>307577686</v>
      </c>
      <c r="E38" s="26">
        <f>D38-C38</f>
        <v>271788771</v>
      </c>
      <c r="F38" s="27">
        <f>IF(C38=0,0,E38/C38)</f>
        <v>7.5942165611894072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14702819</v>
      </c>
      <c r="D40" s="22">
        <v>24275272</v>
      </c>
      <c r="E40" s="22">
        <f>D40-C40</f>
        <v>9572453</v>
      </c>
      <c r="F40" s="23">
        <f>IF(C40=0,0,E40/C40)</f>
        <v>0.65106242551173354</v>
      </c>
    </row>
    <row r="41" spans="1:8" ht="24" customHeight="1" x14ac:dyDescent="0.25">
      <c r="A41" s="24"/>
      <c r="B41" s="25" t="s">
        <v>42</v>
      </c>
      <c r="C41" s="26">
        <f>+C38+C40</f>
        <v>50491734</v>
      </c>
      <c r="D41" s="26">
        <f>+D38+D40</f>
        <v>331852958</v>
      </c>
      <c r="E41" s="26">
        <f>D41-C41</f>
        <v>281361224</v>
      </c>
      <c r="F41" s="27">
        <f>IF(C41=0,0,E41/C41)</f>
        <v>5.5724214977445614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165554066</v>
      </c>
      <c r="D43" s="26">
        <f>D22+D29+D31+D32+D33+D41</f>
        <v>497477275</v>
      </c>
      <c r="E43" s="26">
        <f>D43-C43</f>
        <v>331923209</v>
      </c>
      <c r="F43" s="27">
        <f>IF(C43=0,0,E43/C43)</f>
        <v>2.0049233281893541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10381117</v>
      </c>
      <c r="D49" s="22">
        <v>12391589</v>
      </c>
      <c r="E49" s="22">
        <f t="shared" ref="E49:E56" si="2">D49-C49</f>
        <v>2010472</v>
      </c>
      <c r="F49" s="23">
        <f t="shared" ref="F49:F56" si="3">IF(C49=0,0,E49/C49)</f>
        <v>0.19366624998061385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5426177</v>
      </c>
      <c r="D50" s="22">
        <v>6681872</v>
      </c>
      <c r="E50" s="22">
        <f t="shared" si="2"/>
        <v>1255695</v>
      </c>
      <c r="F50" s="23">
        <f t="shared" si="3"/>
        <v>0.23141430882184638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16725852</v>
      </c>
      <c r="D51" s="22">
        <v>23955553</v>
      </c>
      <c r="E51" s="22">
        <f t="shared" si="2"/>
        <v>7229701</v>
      </c>
      <c r="F51" s="23">
        <f t="shared" si="3"/>
        <v>0.4322470986829251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10215965</v>
      </c>
      <c r="D55" s="22">
        <v>10687389</v>
      </c>
      <c r="E55" s="22">
        <f t="shared" si="2"/>
        <v>471424</v>
      </c>
      <c r="F55" s="23">
        <f t="shared" si="3"/>
        <v>4.6145811971752056E-2</v>
      </c>
    </row>
    <row r="56" spans="1:6" ht="24" customHeight="1" x14ac:dyDescent="0.25">
      <c r="A56" s="24"/>
      <c r="B56" s="25" t="s">
        <v>54</v>
      </c>
      <c r="C56" s="26">
        <f>SUM(C49:C55)</f>
        <v>42749111</v>
      </c>
      <c r="D56" s="26">
        <f>SUM(D49:D55)</f>
        <v>53716403</v>
      </c>
      <c r="E56" s="26">
        <f t="shared" si="2"/>
        <v>10967292</v>
      </c>
      <c r="F56" s="27">
        <f t="shared" si="3"/>
        <v>0.25655017714871309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0</v>
      </c>
      <c r="D61" s="26">
        <f>SUM(D59:D60)</f>
        <v>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162402467</v>
      </c>
      <c r="D63" s="22">
        <v>197596169</v>
      </c>
      <c r="E63" s="22">
        <f>D63-C63</f>
        <v>35193702</v>
      </c>
      <c r="F63" s="23">
        <f>IF(C63=0,0,E63/C63)</f>
        <v>0.21670669571786738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162402467</v>
      </c>
      <c r="D65" s="26">
        <f>SUM(D61:D64)</f>
        <v>197596169</v>
      </c>
      <c r="E65" s="26">
        <f>D65-C65</f>
        <v>35193702</v>
      </c>
      <c r="F65" s="27">
        <f>IF(C65=0,0,E65/C65)</f>
        <v>0.21670669571786738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-39597512</v>
      </c>
      <c r="D70" s="22">
        <v>246164703</v>
      </c>
      <c r="E70" s="22">
        <f>D70-C70</f>
        <v>285762215</v>
      </c>
      <c r="F70" s="23">
        <f>IF(C70=0,0,E70/C70)</f>
        <v>-7.2166709615493012</v>
      </c>
    </row>
    <row r="71" spans="1:6" ht="24" customHeight="1" x14ac:dyDescent="0.2">
      <c r="A71" s="20">
        <v>2</v>
      </c>
      <c r="B71" s="21" t="s">
        <v>65</v>
      </c>
      <c r="C71" s="22">
        <v>0</v>
      </c>
      <c r="D71" s="22">
        <v>0</v>
      </c>
      <c r="E71" s="22">
        <f>D71-C71</f>
        <v>0</v>
      </c>
      <c r="F71" s="23">
        <f>IF(C71=0,0,E71/C71)</f>
        <v>0</v>
      </c>
    </row>
    <row r="72" spans="1:6" ht="24" customHeight="1" x14ac:dyDescent="0.2">
      <c r="A72" s="20">
        <v>3</v>
      </c>
      <c r="B72" s="21" t="s">
        <v>66</v>
      </c>
      <c r="C72" s="22">
        <v>0</v>
      </c>
      <c r="D72" s="22">
        <v>0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-39597512</v>
      </c>
      <c r="D73" s="26">
        <f>SUM(D70:D72)</f>
        <v>246164703</v>
      </c>
      <c r="E73" s="26">
        <f>D73-C73</f>
        <v>285762215</v>
      </c>
      <c r="F73" s="27">
        <f>IF(C73=0,0,E73/C73)</f>
        <v>-7.2166709615493012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165554066</v>
      </c>
      <c r="D75" s="26">
        <f>D56+D65+D67+D73</f>
        <v>497477275</v>
      </c>
      <c r="E75" s="26">
        <f>D75-C75</f>
        <v>331923209</v>
      </c>
      <c r="F75" s="27">
        <f>IF(C75=0,0,E75/C75)</f>
        <v>2.0049233281893541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B38" sqref="B38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450315219</v>
      </c>
      <c r="D11" s="76">
        <v>512960175</v>
      </c>
      <c r="E11" s="76">
        <v>532875588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208895000</v>
      </c>
      <c r="D12" s="185">
        <v>208207357</v>
      </c>
      <c r="E12" s="185">
        <v>210390321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659210219</v>
      </c>
      <c r="D13" s="76">
        <f>+D11+D12</f>
        <v>721167532</v>
      </c>
      <c r="E13" s="76">
        <f>+E11+E12</f>
        <v>743265909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945312704</v>
      </c>
      <c r="D14" s="185">
        <v>1007041731</v>
      </c>
      <c r="E14" s="185">
        <v>1053577423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-286102485</v>
      </c>
      <c r="D15" s="76">
        <f>+D13-D14</f>
        <v>-285874199</v>
      </c>
      <c r="E15" s="76">
        <f>+E13-E14</f>
        <v>-310311514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465166000</v>
      </c>
      <c r="D16" s="185">
        <v>440084152</v>
      </c>
      <c r="E16" s="185">
        <v>460111036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179063515</v>
      </c>
      <c r="D17" s="76">
        <f>D15+D16</f>
        <v>154209953</v>
      </c>
      <c r="E17" s="76">
        <f>E15+E16</f>
        <v>149799522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-0.2544544078444263</v>
      </c>
      <c r="D20" s="189">
        <f>IF(+D27=0,0,+D24/+D27)</f>
        <v>-0.24617763998867967</v>
      </c>
      <c r="E20" s="189">
        <f>IF(+E27=0,0,+E24/+E27)</f>
        <v>-0.25786725870836757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0.41371027965506979</v>
      </c>
      <c r="D21" s="189">
        <f>IF(+D27=0,0,+D26/+D27)</f>
        <v>0.37897396237489545</v>
      </c>
      <c r="E21" s="189">
        <f>IF(+E27=0,0,+E26/+E27)</f>
        <v>0.38234988455757724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0.15925587181064349</v>
      </c>
      <c r="D22" s="189">
        <f>IF(+D27=0,0,+D28/+D27)</f>
        <v>0.1327963223862158</v>
      </c>
      <c r="E22" s="189">
        <f>IF(+E27=0,0,+E28/+E27)</f>
        <v>0.1244826258492097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-286102485</v>
      </c>
      <c r="D24" s="76">
        <f>+D15</f>
        <v>-285874199</v>
      </c>
      <c r="E24" s="76">
        <f>+E15</f>
        <v>-310311514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659210219</v>
      </c>
      <c r="D25" s="76">
        <f>+D13</f>
        <v>721167532</v>
      </c>
      <c r="E25" s="76">
        <f>+E13</f>
        <v>743265909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465166000</v>
      </c>
      <c r="D26" s="76">
        <f>+D16</f>
        <v>440084152</v>
      </c>
      <c r="E26" s="76">
        <f>+E16</f>
        <v>460111036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1124376219</v>
      </c>
      <c r="D27" s="76">
        <f>SUM(D25:D26)</f>
        <v>1161251684</v>
      </c>
      <c r="E27" s="76">
        <f>SUM(E25:E26)</f>
        <v>1203376945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179063515</v>
      </c>
      <c r="D28" s="76">
        <f>+D17</f>
        <v>154209953</v>
      </c>
      <c r="E28" s="76">
        <f>+E17</f>
        <v>149799522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17703000</v>
      </c>
      <c r="D31" s="76">
        <v>-648621000</v>
      </c>
      <c r="E31" s="76">
        <v>-666313000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576794000</v>
      </c>
      <c r="D32" s="76">
        <v>35972000</v>
      </c>
      <c r="E32" s="76">
        <v>185771000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179064000</v>
      </c>
      <c r="D33" s="76">
        <f>+D32-C32</f>
        <v>-540822000</v>
      </c>
      <c r="E33" s="76">
        <f>+E32-D32</f>
        <v>149799000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1.4501999999999999</v>
      </c>
      <c r="D34" s="193">
        <f>IF(C32=0,0,+D33/C32)</f>
        <v>-0.93763458011005663</v>
      </c>
      <c r="E34" s="193">
        <f>IF(D32=0,0,+E33/D32)</f>
        <v>4.164322250639386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2.9470345553477619</v>
      </c>
      <c r="D38" s="338">
        <f>IF(+D40=0,0,+D39/+D40)</f>
        <v>2.6002542528812538</v>
      </c>
      <c r="E38" s="338">
        <f>IF(+E40=0,0,+E39/+E40)</f>
        <v>2.3636724230382185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313591000</v>
      </c>
      <c r="D39" s="341">
        <v>310902000</v>
      </c>
      <c r="E39" s="341">
        <v>321788000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106409000</v>
      </c>
      <c r="D40" s="341">
        <v>119566000</v>
      </c>
      <c r="E40" s="341">
        <v>136139000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18.358142044189137</v>
      </c>
      <c r="D42" s="343">
        <f>IF((D48/365)=0,0,+D45/(D48/365))</f>
        <v>34.739729253292147</v>
      </c>
      <c r="E42" s="343">
        <f>IF((E48/365)=0,0,+E45/(E48/365))</f>
        <v>35.906435764647668</v>
      </c>
    </row>
    <row r="43" spans="1:14" ht="24" customHeight="1" x14ac:dyDescent="0.2">
      <c r="A43" s="339">
        <v>5</v>
      </c>
      <c r="B43" s="344" t="s">
        <v>16</v>
      </c>
      <c r="C43" s="345">
        <v>45897000</v>
      </c>
      <c r="D43" s="345">
        <v>92247000</v>
      </c>
      <c r="E43" s="345">
        <v>99565000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45897000</v>
      </c>
      <c r="D45" s="341">
        <f>+D43+D44</f>
        <v>92247000</v>
      </c>
      <c r="E45" s="341">
        <f>+E43+E44</f>
        <v>99565000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945312704</v>
      </c>
      <c r="D46" s="341">
        <f>+D14</f>
        <v>1007041731</v>
      </c>
      <c r="E46" s="341">
        <f>+E14</f>
        <v>1053577423</v>
      </c>
    </row>
    <row r="47" spans="1:14" ht="24" customHeight="1" x14ac:dyDescent="0.2">
      <c r="A47" s="339">
        <v>9</v>
      </c>
      <c r="B47" s="340" t="s">
        <v>356</v>
      </c>
      <c r="C47" s="341">
        <v>32780000</v>
      </c>
      <c r="D47" s="341">
        <v>37829946</v>
      </c>
      <c r="E47" s="341">
        <v>41468473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912532704</v>
      </c>
      <c r="D48" s="341">
        <f>+D46-D47</f>
        <v>969211785</v>
      </c>
      <c r="E48" s="341">
        <f>+E46-E47</f>
        <v>1012108950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31.84543714033347</v>
      </c>
      <c r="D50" s="350">
        <f>IF((D55/365)=0,0,+D54/(D55/365))</f>
        <v>22.589063566192053</v>
      </c>
      <c r="E50" s="350">
        <f>IF((E55/365)=0,0,+E54/(E55/365))</f>
        <v>18.24398643684912</v>
      </c>
    </row>
    <row r="51" spans="1:5" ht="24" customHeight="1" x14ac:dyDescent="0.2">
      <c r="A51" s="339">
        <v>12</v>
      </c>
      <c r="B51" s="344" t="s">
        <v>359</v>
      </c>
      <c r="C51" s="351">
        <v>43781000</v>
      </c>
      <c r="D51" s="351">
        <v>48472000</v>
      </c>
      <c r="E51" s="351">
        <v>50591000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4492000</v>
      </c>
      <c r="D53" s="341">
        <v>16726000</v>
      </c>
      <c r="E53" s="341">
        <v>23956000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39289000</v>
      </c>
      <c r="D54" s="352">
        <f>+D51+D52-D53</f>
        <v>31746000</v>
      </c>
      <c r="E54" s="352">
        <f>+E51+E52-E53</f>
        <v>26635000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450315219</v>
      </c>
      <c r="D55" s="341">
        <f>+D11</f>
        <v>512960175</v>
      </c>
      <c r="E55" s="341">
        <f>+E11</f>
        <v>532875588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42.562074575247223</v>
      </c>
      <c r="D57" s="355">
        <f>IF((D61/365)=0,0,+D58/(D61/365))</f>
        <v>45.027919259153457</v>
      </c>
      <c r="E57" s="355">
        <f>IF((E61/365)=0,0,+E58/(E61/365))</f>
        <v>49.096231191315916</v>
      </c>
    </row>
    <row r="58" spans="1:5" ht="24" customHeight="1" x14ac:dyDescent="0.2">
      <c r="A58" s="339">
        <v>18</v>
      </c>
      <c r="B58" s="340" t="s">
        <v>54</v>
      </c>
      <c r="C58" s="353">
        <f>+C40</f>
        <v>106409000</v>
      </c>
      <c r="D58" s="353">
        <f>+D40</f>
        <v>119566000</v>
      </c>
      <c r="E58" s="353">
        <f>+E40</f>
        <v>136139000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945312704</v>
      </c>
      <c r="D59" s="353">
        <f t="shared" si="0"/>
        <v>1007041731</v>
      </c>
      <c r="E59" s="353">
        <f t="shared" si="0"/>
        <v>1053577423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32780000</v>
      </c>
      <c r="D60" s="356">
        <f t="shared" si="0"/>
        <v>37829946</v>
      </c>
      <c r="E60" s="356">
        <f t="shared" si="0"/>
        <v>41468473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912532704</v>
      </c>
      <c r="D61" s="353">
        <f>+D59-D60</f>
        <v>969211785</v>
      </c>
      <c r="E61" s="353">
        <f>+E59-E60</f>
        <v>1012108950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64.447193087720819</v>
      </c>
      <c r="D65" s="357">
        <f>IF(D67=0,0,(D66/D67)*100)</f>
        <v>2.8872973205091057</v>
      </c>
      <c r="E65" s="357">
        <f>IF(E67=0,0,(E66/E67)*100)</f>
        <v>12.737039855743189</v>
      </c>
    </row>
    <row r="66" spans="1:5" ht="24" customHeight="1" x14ac:dyDescent="0.2">
      <c r="A66" s="339">
        <v>2</v>
      </c>
      <c r="B66" s="340" t="s">
        <v>67</v>
      </c>
      <c r="C66" s="353">
        <f>+C32</f>
        <v>576794000</v>
      </c>
      <c r="D66" s="353">
        <f>+D32</f>
        <v>35972000</v>
      </c>
      <c r="E66" s="353">
        <f>+E32</f>
        <v>185771000</v>
      </c>
    </row>
    <row r="67" spans="1:5" ht="24" customHeight="1" x14ac:dyDescent="0.2">
      <c r="A67" s="339">
        <v>3</v>
      </c>
      <c r="B67" s="340" t="s">
        <v>43</v>
      </c>
      <c r="C67" s="353">
        <v>894987000</v>
      </c>
      <c r="D67" s="353">
        <v>1245871000</v>
      </c>
      <c r="E67" s="353">
        <v>1458510000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77.796695972148783</v>
      </c>
      <c r="D69" s="357">
        <f>IF(D75=0,0,(D72/D75)*100)</f>
        <v>58.147038750582865</v>
      </c>
      <c r="E69" s="357">
        <f>IF(E75=0,0,(E72/E75)*100)</f>
        <v>56.08176905574517</v>
      </c>
    </row>
    <row r="70" spans="1:5" ht="24" customHeight="1" x14ac:dyDescent="0.2">
      <c r="A70" s="339">
        <v>5</v>
      </c>
      <c r="B70" s="340" t="s">
        <v>366</v>
      </c>
      <c r="C70" s="353">
        <f>+C28</f>
        <v>179063515</v>
      </c>
      <c r="D70" s="353">
        <f>+D28</f>
        <v>154209953</v>
      </c>
      <c r="E70" s="353">
        <f>+E28</f>
        <v>149799522</v>
      </c>
    </row>
    <row r="71" spans="1:5" ht="24" customHeight="1" x14ac:dyDescent="0.2">
      <c r="A71" s="339">
        <v>6</v>
      </c>
      <c r="B71" s="340" t="s">
        <v>356</v>
      </c>
      <c r="C71" s="356">
        <f>+C47</f>
        <v>32780000</v>
      </c>
      <c r="D71" s="356">
        <f>+D47</f>
        <v>37829946</v>
      </c>
      <c r="E71" s="356">
        <f>+E47</f>
        <v>41468473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211843515</v>
      </c>
      <c r="D72" s="353">
        <f>+D70+D71</f>
        <v>192039899</v>
      </c>
      <c r="E72" s="353">
        <f>+E70+E71</f>
        <v>191267995</v>
      </c>
    </row>
    <row r="73" spans="1:5" ht="24" customHeight="1" x14ac:dyDescent="0.2">
      <c r="A73" s="339">
        <v>8</v>
      </c>
      <c r="B73" s="340" t="s">
        <v>54</v>
      </c>
      <c r="C73" s="341">
        <f>+C40</f>
        <v>106409000</v>
      </c>
      <c r="D73" s="341">
        <f>+D40</f>
        <v>119566000</v>
      </c>
      <c r="E73" s="341">
        <f>+E40</f>
        <v>136139000</v>
      </c>
    </row>
    <row r="74" spans="1:5" ht="24" customHeight="1" x14ac:dyDescent="0.2">
      <c r="A74" s="339">
        <v>9</v>
      </c>
      <c r="B74" s="340" t="s">
        <v>58</v>
      </c>
      <c r="C74" s="353">
        <v>165895000</v>
      </c>
      <c r="D74" s="353">
        <v>210700000</v>
      </c>
      <c r="E74" s="353">
        <v>204913000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272304000</v>
      </c>
      <c r="D75" s="341">
        <f>+D73+D74</f>
        <v>330266000</v>
      </c>
      <c r="E75" s="341">
        <f>+E73+E74</f>
        <v>341052000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22.337075141815752</v>
      </c>
      <c r="D77" s="359">
        <f>IF(D80=0,0,(D78/D80)*100)</f>
        <v>85.417072063306748</v>
      </c>
      <c r="E77" s="359">
        <f>IF(E80=0,0,(E78/E80)*100)</f>
        <v>52.449805981304586</v>
      </c>
    </row>
    <row r="78" spans="1:5" ht="24" customHeight="1" x14ac:dyDescent="0.2">
      <c r="A78" s="339">
        <v>12</v>
      </c>
      <c r="B78" s="340" t="s">
        <v>58</v>
      </c>
      <c r="C78" s="341">
        <f>+C74</f>
        <v>165895000</v>
      </c>
      <c r="D78" s="341">
        <f>+D74</f>
        <v>210700000</v>
      </c>
      <c r="E78" s="341">
        <f>+E74</f>
        <v>204913000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576794000</v>
      </c>
      <c r="D79" s="341">
        <f>+D32</f>
        <v>35972000</v>
      </c>
      <c r="E79" s="341">
        <f>+E32</f>
        <v>185771000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742689000</v>
      </c>
      <c r="D80" s="341">
        <f>+D78+D79</f>
        <v>246672000</v>
      </c>
      <c r="E80" s="341">
        <f>+E78+E79</f>
        <v>390684000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J33" sqref="J33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27303</v>
      </c>
      <c r="D11" s="376">
        <v>6946</v>
      </c>
      <c r="E11" s="376">
        <v>7073</v>
      </c>
      <c r="F11" s="377">
        <v>134</v>
      </c>
      <c r="G11" s="377">
        <v>159</v>
      </c>
      <c r="H11" s="378">
        <f>IF(F11=0,0,$C11/(F11*365))</f>
        <v>0.558229400940503</v>
      </c>
      <c r="I11" s="378">
        <f>IF(G11=0,0,$C11/(G11*365))</f>
        <v>0.47045748255363146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1002</v>
      </c>
      <c r="D13" s="376">
        <v>164</v>
      </c>
      <c r="E13" s="376">
        <v>0</v>
      </c>
      <c r="F13" s="377">
        <v>16</v>
      </c>
      <c r="G13" s="377">
        <v>20</v>
      </c>
      <c r="H13" s="378">
        <f>IF(F13=0,0,$C13/(F13*365))</f>
        <v>0.17157534246575343</v>
      </c>
      <c r="I13" s="378">
        <f>IF(G13=0,0,$C13/(G13*365))</f>
        <v>0.13726027397260274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5503</v>
      </c>
      <c r="D16" s="376">
        <v>789</v>
      </c>
      <c r="E16" s="376">
        <v>759</v>
      </c>
      <c r="F16" s="377">
        <v>18</v>
      </c>
      <c r="G16" s="377">
        <v>25</v>
      </c>
      <c r="H16" s="378">
        <f t="shared" si="0"/>
        <v>0.83759512937595126</v>
      </c>
      <c r="I16" s="378">
        <f t="shared" si="0"/>
        <v>0.60306849315068489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5503</v>
      </c>
      <c r="D17" s="381">
        <f>SUM(D15:D16)</f>
        <v>789</v>
      </c>
      <c r="E17" s="381">
        <f>SUM(E15:E16)</f>
        <v>759</v>
      </c>
      <c r="F17" s="381">
        <f>SUM(F15:F16)</f>
        <v>18</v>
      </c>
      <c r="G17" s="381">
        <f>SUM(G15:G16)</f>
        <v>25</v>
      </c>
      <c r="H17" s="382">
        <f t="shared" si="0"/>
        <v>0.83759512937595126</v>
      </c>
      <c r="I17" s="382">
        <f t="shared" si="0"/>
        <v>0.60306849315068489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2700</v>
      </c>
      <c r="D21" s="376">
        <v>793</v>
      </c>
      <c r="E21" s="376">
        <v>804</v>
      </c>
      <c r="F21" s="377">
        <v>20</v>
      </c>
      <c r="G21" s="377">
        <v>20</v>
      </c>
      <c r="H21" s="378">
        <f>IF(F21=0,0,$C21/(F21*365))</f>
        <v>0.36986301369863012</v>
      </c>
      <c r="I21" s="378">
        <f>IF(G21=0,0,$C21/(G21*365))</f>
        <v>0.36986301369863012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1238</v>
      </c>
      <c r="D23" s="376">
        <v>551</v>
      </c>
      <c r="E23" s="376">
        <v>569</v>
      </c>
      <c r="F23" s="377">
        <v>10</v>
      </c>
      <c r="G23" s="377">
        <v>10</v>
      </c>
      <c r="H23" s="378">
        <f>IF(F23=0,0,$C23/(F23*365))</f>
        <v>0.33917808219178081</v>
      </c>
      <c r="I23" s="378">
        <f>IF(G23=0,0,$C23/(G23*365))</f>
        <v>0.33917808219178081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36508</v>
      </c>
      <c r="D31" s="384">
        <f>SUM(D10:D29)-D13-D17-D23</f>
        <v>8528</v>
      </c>
      <c r="E31" s="384">
        <f>SUM(E10:E29)-E17-E23</f>
        <v>8636</v>
      </c>
      <c r="F31" s="384">
        <f>SUM(F10:F29)-F17-F23</f>
        <v>188</v>
      </c>
      <c r="G31" s="384">
        <f>SUM(G10:G29)-G17-G23</f>
        <v>224</v>
      </c>
      <c r="H31" s="385">
        <f>IF(F31=0,0,$C31/(F31*365))</f>
        <v>0.53203147770329351</v>
      </c>
      <c r="I31" s="385">
        <f>IF(G31=0,0,$C31/(G31*365))</f>
        <v>0.44652641878669275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37746</v>
      </c>
      <c r="D33" s="384">
        <f>SUM(D10:D29)-D13-D17</f>
        <v>9079</v>
      </c>
      <c r="E33" s="384">
        <f>SUM(E10:E29)-E17</f>
        <v>9205</v>
      </c>
      <c r="F33" s="384">
        <f>SUM(F10:F29)-F17</f>
        <v>198</v>
      </c>
      <c r="G33" s="384">
        <f>SUM(G10:G29)-G17</f>
        <v>234</v>
      </c>
      <c r="H33" s="385">
        <f>IF(F33=0,0,$C33/(F33*365))</f>
        <v>0.52229140722291412</v>
      </c>
      <c r="I33" s="385">
        <f>IF(G33=0,0,$C33/(G33*365))</f>
        <v>0.44193888303477347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37746</v>
      </c>
      <c r="D36" s="384">
        <f t="shared" si="1"/>
        <v>9079</v>
      </c>
      <c r="E36" s="384">
        <f t="shared" si="1"/>
        <v>9205</v>
      </c>
      <c r="F36" s="384">
        <f t="shared" si="1"/>
        <v>198</v>
      </c>
      <c r="G36" s="384">
        <f t="shared" si="1"/>
        <v>234</v>
      </c>
      <c r="H36" s="387">
        <f t="shared" si="1"/>
        <v>0.52229140722291412</v>
      </c>
      <c r="I36" s="387">
        <f t="shared" si="1"/>
        <v>0.44193888303477347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38384</v>
      </c>
      <c r="D37" s="384">
        <v>8846</v>
      </c>
      <c r="E37" s="384">
        <v>8776</v>
      </c>
      <c r="F37" s="386">
        <v>175</v>
      </c>
      <c r="G37" s="386">
        <v>234</v>
      </c>
      <c r="H37" s="385">
        <f>IF(F37=0,0,$C37/(F37*365))</f>
        <v>0.60092367906066535</v>
      </c>
      <c r="I37" s="385">
        <f>IF(G37=0,0,$C37/(G37*365))</f>
        <v>0.4494087343402412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-638</v>
      </c>
      <c r="D38" s="384">
        <f t="shared" si="2"/>
        <v>233</v>
      </c>
      <c r="E38" s="384">
        <f t="shared" si="2"/>
        <v>429</v>
      </c>
      <c r="F38" s="384">
        <f t="shared" si="2"/>
        <v>23</v>
      </c>
      <c r="G38" s="384">
        <f t="shared" si="2"/>
        <v>0</v>
      </c>
      <c r="H38" s="387">
        <f t="shared" si="2"/>
        <v>-7.8632271837751233E-2</v>
      </c>
      <c r="I38" s="387">
        <f t="shared" si="2"/>
        <v>-7.469851305467734E-3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-1.6621508962067526E-2</v>
      </c>
      <c r="D40" s="389">
        <f t="shared" si="3"/>
        <v>2.6339588514582863E-2</v>
      </c>
      <c r="E40" s="389">
        <f t="shared" si="3"/>
        <v>4.888331814038286E-2</v>
      </c>
      <c r="F40" s="389">
        <f t="shared" si="3"/>
        <v>0.13142857142857142</v>
      </c>
      <c r="G40" s="389">
        <f t="shared" si="3"/>
        <v>0</v>
      </c>
      <c r="H40" s="389">
        <f t="shared" si="3"/>
        <v>-0.13085234377960506</v>
      </c>
      <c r="I40" s="389">
        <f t="shared" si="3"/>
        <v>-1.6621508962067506E-2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orientation="landscape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38" sqref="B38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4352</v>
      </c>
      <c r="D12" s="409">
        <v>4309</v>
      </c>
      <c r="E12" s="409">
        <f>+D12-C12</f>
        <v>-43</v>
      </c>
      <c r="F12" s="410">
        <f>IF(C12=0,0,+E12/C12)</f>
        <v>-9.8805147058823525E-3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5847</v>
      </c>
      <c r="D13" s="409">
        <v>6527</v>
      </c>
      <c r="E13" s="409">
        <f>+D13-C13</f>
        <v>680</v>
      </c>
      <c r="F13" s="410">
        <f>IF(C13=0,0,+E13/C13)</f>
        <v>0.11629895672994699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4215</v>
      </c>
      <c r="D14" s="409">
        <v>4965</v>
      </c>
      <c r="E14" s="409">
        <f>+D14-C14</f>
        <v>750</v>
      </c>
      <c r="F14" s="410">
        <f>IF(C14=0,0,+E14/C14)</f>
        <v>0.17793594306049823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14414</v>
      </c>
      <c r="D16" s="401">
        <f>SUM(D12:D15)</f>
        <v>15801</v>
      </c>
      <c r="E16" s="401">
        <f>+D16-C16</f>
        <v>1387</v>
      </c>
      <c r="F16" s="402">
        <f>IF(C16=0,0,+E16/C16)</f>
        <v>9.6225891494380461E-2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1006</v>
      </c>
      <c r="D19" s="409">
        <v>981</v>
      </c>
      <c r="E19" s="409">
        <f>+D19-C19</f>
        <v>-25</v>
      </c>
      <c r="F19" s="410">
        <f>IF(C19=0,0,+E19/C19)</f>
        <v>-2.4850894632206761E-2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6331</v>
      </c>
      <c r="D20" s="409">
        <v>6664</v>
      </c>
      <c r="E20" s="409">
        <f>+D20-C20</f>
        <v>333</v>
      </c>
      <c r="F20" s="410">
        <f>IF(C20=0,0,+E20/C20)</f>
        <v>5.2598325698941718E-2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225</v>
      </c>
      <c r="D21" s="409">
        <v>189</v>
      </c>
      <c r="E21" s="409">
        <f>+D21-C21</f>
        <v>-36</v>
      </c>
      <c r="F21" s="410">
        <f>IF(C21=0,0,+E21/C21)</f>
        <v>-0.16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7562</v>
      </c>
      <c r="D23" s="401">
        <f>SUM(D19:D22)</f>
        <v>7834</v>
      </c>
      <c r="E23" s="401">
        <f>+D23-C23</f>
        <v>272</v>
      </c>
      <c r="F23" s="402">
        <f>IF(C23=0,0,+E23/C23)</f>
        <v>3.596932028563872E-2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</v>
      </c>
      <c r="D27" s="409">
        <v>4</v>
      </c>
      <c r="E27" s="409">
        <f>+D27-C27</f>
        <v>3</v>
      </c>
      <c r="F27" s="410">
        <f>IF(C27=0,0,+E27/C27)</f>
        <v>3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</v>
      </c>
      <c r="D30" s="401">
        <f>SUM(D26:D29)</f>
        <v>4</v>
      </c>
      <c r="E30" s="401">
        <f>+D30-C30</f>
        <v>3</v>
      </c>
      <c r="F30" s="402">
        <f>IF(C30=0,0,+E30/C30)</f>
        <v>3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3</v>
      </c>
      <c r="D33" s="409">
        <v>1</v>
      </c>
      <c r="E33" s="409">
        <f>+D33-C33</f>
        <v>-2</v>
      </c>
      <c r="F33" s="410">
        <f>IF(C33=0,0,+E33/C33)</f>
        <v>-0.66666666666666663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403</v>
      </c>
      <c r="D34" s="409">
        <v>411</v>
      </c>
      <c r="E34" s="409">
        <f>+D34-C34</f>
        <v>8</v>
      </c>
      <c r="F34" s="410">
        <f>IF(C34=0,0,+E34/C34)</f>
        <v>1.9851116625310174E-2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2</v>
      </c>
      <c r="E35" s="409">
        <f>+D35-C35</f>
        <v>2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406</v>
      </c>
      <c r="D37" s="401">
        <f>SUM(D33:D36)</f>
        <v>414</v>
      </c>
      <c r="E37" s="401">
        <f>+D37-C37</f>
        <v>8</v>
      </c>
      <c r="F37" s="402">
        <f>IF(C37=0,0,+E37/C37)</f>
        <v>1.9704433497536946E-2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228</v>
      </c>
      <c r="D43" s="409">
        <v>191</v>
      </c>
      <c r="E43" s="409">
        <f>+D43-C43</f>
        <v>-37</v>
      </c>
      <c r="F43" s="410">
        <f>IF(C43=0,0,+E43/C43)</f>
        <v>-0.16228070175438597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6881</v>
      </c>
      <c r="D44" s="409">
        <v>11173</v>
      </c>
      <c r="E44" s="409">
        <f>+D44-C44</f>
        <v>4292</v>
      </c>
      <c r="F44" s="410">
        <f>IF(C44=0,0,+E44/C44)</f>
        <v>0.62374654846679267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7109</v>
      </c>
      <c r="D45" s="401">
        <f>SUM(D43:D44)</f>
        <v>11364</v>
      </c>
      <c r="E45" s="401">
        <f>+D45-C45</f>
        <v>4255</v>
      </c>
      <c r="F45" s="402">
        <f>IF(C45=0,0,+E45/C45)</f>
        <v>0.5985370656913771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274</v>
      </c>
      <c r="D48" s="409">
        <v>335</v>
      </c>
      <c r="E48" s="409">
        <f>+D48-C48</f>
        <v>61</v>
      </c>
      <c r="F48" s="410">
        <f>IF(C48=0,0,+E48/C48)</f>
        <v>0.22262773722627738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518</v>
      </c>
      <c r="D49" s="409">
        <v>135</v>
      </c>
      <c r="E49" s="409">
        <f>+D49-C49</f>
        <v>-383</v>
      </c>
      <c r="F49" s="410">
        <f>IF(C49=0,0,+E49/C49)</f>
        <v>-0.73938223938223935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792</v>
      </c>
      <c r="D50" s="401">
        <f>SUM(D48:D49)</f>
        <v>470</v>
      </c>
      <c r="E50" s="401">
        <f>+D50-C50</f>
        <v>-322</v>
      </c>
      <c r="F50" s="402">
        <f>IF(C50=0,0,+E50/C50)</f>
        <v>-0.40656565656565657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198</v>
      </c>
      <c r="D53" s="409">
        <v>220</v>
      </c>
      <c r="E53" s="409">
        <f>+D53-C53</f>
        <v>22</v>
      </c>
      <c r="F53" s="410">
        <f>IF(C53=0,0,+E53/C53)</f>
        <v>0.1111111111111111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230</v>
      </c>
      <c r="D54" s="409">
        <v>62</v>
      </c>
      <c r="E54" s="409">
        <f>+D54-C54</f>
        <v>-168</v>
      </c>
      <c r="F54" s="410">
        <f>IF(C54=0,0,+E54/C54)</f>
        <v>-0.73043478260869565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428</v>
      </c>
      <c r="D55" s="401">
        <f>SUM(D53:D54)</f>
        <v>282</v>
      </c>
      <c r="E55" s="401">
        <f>+D55-C55</f>
        <v>-146</v>
      </c>
      <c r="F55" s="402">
        <f>IF(C55=0,0,+E55/C55)</f>
        <v>-0.34112149532710279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58</v>
      </c>
      <c r="D58" s="409">
        <v>133</v>
      </c>
      <c r="E58" s="409">
        <f>+D58-C58</f>
        <v>75</v>
      </c>
      <c r="F58" s="410">
        <f>IF(C58=0,0,+E58/C58)</f>
        <v>1.2931034482758621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128</v>
      </c>
      <c r="D59" s="409">
        <v>4</v>
      </c>
      <c r="E59" s="409">
        <f>+D59-C59</f>
        <v>-124</v>
      </c>
      <c r="F59" s="410">
        <f>IF(C59=0,0,+E59/C59)</f>
        <v>-0.96875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186</v>
      </c>
      <c r="D60" s="401">
        <f>SUM(D58:D59)</f>
        <v>137</v>
      </c>
      <c r="E60" s="401">
        <f>SUM(E58:E59)</f>
        <v>-49</v>
      </c>
      <c r="F60" s="402">
        <f>IF(C60=0,0,+E60/C60)</f>
        <v>-0.26344086021505375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2241</v>
      </c>
      <c r="D63" s="409">
        <v>2290</v>
      </c>
      <c r="E63" s="409">
        <f>+D63-C63</f>
        <v>49</v>
      </c>
      <c r="F63" s="410">
        <f>IF(C63=0,0,+E63/C63)</f>
        <v>2.1865238732708611E-2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8525</v>
      </c>
      <c r="D64" s="409">
        <v>8237</v>
      </c>
      <c r="E64" s="409">
        <f>+D64-C64</f>
        <v>-288</v>
      </c>
      <c r="F64" s="410">
        <f>IF(C64=0,0,+E64/C64)</f>
        <v>-3.3782991202346041E-2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10766</v>
      </c>
      <c r="D65" s="401">
        <f>SUM(D63:D64)</f>
        <v>10527</v>
      </c>
      <c r="E65" s="401">
        <f>+D65-C65</f>
        <v>-239</v>
      </c>
      <c r="F65" s="402">
        <f>IF(C65=0,0,+E65/C65)</f>
        <v>-2.2199516997956529E-2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236</v>
      </c>
      <c r="D68" s="409">
        <v>246</v>
      </c>
      <c r="E68" s="409">
        <f>+D68-C68</f>
        <v>10</v>
      </c>
      <c r="F68" s="410">
        <f>IF(C68=0,0,+E68/C68)</f>
        <v>4.2372881355932202E-2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3705</v>
      </c>
      <c r="D69" s="409">
        <v>4080</v>
      </c>
      <c r="E69" s="409">
        <f>+D69-C69</f>
        <v>375</v>
      </c>
      <c r="F69" s="412">
        <f>IF(C69=0,0,+E69/C69)</f>
        <v>0.10121457489878542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3941</v>
      </c>
      <c r="D70" s="401">
        <f>SUM(D68:D69)</f>
        <v>4326</v>
      </c>
      <c r="E70" s="401">
        <f>+D70-C70</f>
        <v>385</v>
      </c>
      <c r="F70" s="402">
        <f>IF(C70=0,0,+E70/C70)</f>
        <v>9.7690941385435173E-2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5450</v>
      </c>
      <c r="D73" s="376">
        <v>5450</v>
      </c>
      <c r="E73" s="409">
        <f>+D73-C73</f>
        <v>0</v>
      </c>
      <c r="F73" s="410">
        <f>IF(C73=0,0,+E73/C73)</f>
        <v>0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25370</v>
      </c>
      <c r="D74" s="376">
        <v>25686</v>
      </c>
      <c r="E74" s="409">
        <f>+D74-C74</f>
        <v>316</v>
      </c>
      <c r="F74" s="410">
        <f>IF(C74=0,0,+E74/C74)</f>
        <v>1.2455656286953094E-2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30820</v>
      </c>
      <c r="D75" s="401">
        <f>SUM(D73:D74)</f>
        <v>31136</v>
      </c>
      <c r="E75" s="401">
        <f>SUM(E73:E74)</f>
        <v>316</v>
      </c>
      <c r="F75" s="402">
        <f>IF(C75=0,0,+E75/C75)</f>
        <v>1.0253082414016871E-2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19797</v>
      </c>
      <c r="D81" s="376">
        <v>19044</v>
      </c>
      <c r="E81" s="409">
        <f t="shared" si="0"/>
        <v>-753</v>
      </c>
      <c r="F81" s="410">
        <f t="shared" si="1"/>
        <v>-3.8036066070616763E-2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9836</v>
      </c>
      <c r="D84" s="376">
        <v>15511</v>
      </c>
      <c r="E84" s="409">
        <f t="shared" si="0"/>
        <v>5675</v>
      </c>
      <c r="F84" s="410">
        <f t="shared" si="1"/>
        <v>0.57696217974786501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7679</v>
      </c>
      <c r="D91" s="376">
        <v>6393</v>
      </c>
      <c r="E91" s="409">
        <f t="shared" si="0"/>
        <v>-1286</v>
      </c>
      <c r="F91" s="410">
        <f t="shared" si="1"/>
        <v>-0.16746972262013282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37312</v>
      </c>
      <c r="D92" s="381">
        <f>SUM(D79:D91)</f>
        <v>40948</v>
      </c>
      <c r="E92" s="401">
        <f t="shared" si="0"/>
        <v>3636</v>
      </c>
      <c r="F92" s="402">
        <f t="shared" si="1"/>
        <v>9.7448542024013721E-2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26525</v>
      </c>
      <c r="D95" s="414">
        <v>32054</v>
      </c>
      <c r="E95" s="415">
        <f t="shared" ref="E95:E100" si="2">+D95-C95</f>
        <v>5529</v>
      </c>
      <c r="F95" s="412">
        <f t="shared" ref="F95:F100" si="3">IF(C95=0,0,+E95/C95)</f>
        <v>0.20844486333647502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4558</v>
      </c>
      <c r="D97" s="414">
        <v>5096</v>
      </c>
      <c r="E97" s="409">
        <f t="shared" si="2"/>
        <v>538</v>
      </c>
      <c r="F97" s="410">
        <f t="shared" si="3"/>
        <v>0.11803422553751645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3705</v>
      </c>
      <c r="D98" s="414">
        <v>4080</v>
      </c>
      <c r="E98" s="409">
        <f t="shared" si="2"/>
        <v>375</v>
      </c>
      <c r="F98" s="410">
        <f t="shared" si="3"/>
        <v>0.10121457489878542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277189</v>
      </c>
      <c r="D99" s="414">
        <v>302984</v>
      </c>
      <c r="E99" s="409">
        <f t="shared" si="2"/>
        <v>25795</v>
      </c>
      <c r="F99" s="410">
        <f t="shared" si="3"/>
        <v>9.3059248382872342E-2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311977</v>
      </c>
      <c r="D100" s="381">
        <f>SUM(D95:D99)</f>
        <v>344214</v>
      </c>
      <c r="E100" s="401">
        <f t="shared" si="2"/>
        <v>32237</v>
      </c>
      <c r="F100" s="402">
        <f t="shared" si="3"/>
        <v>0.10333133532279623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558.5</v>
      </c>
      <c r="D104" s="416">
        <v>576.5</v>
      </c>
      <c r="E104" s="417">
        <f>+D104-C104</f>
        <v>18</v>
      </c>
      <c r="F104" s="410">
        <f>IF(C104=0,0,+E104/C104)</f>
        <v>3.222918531781558E-2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37.9</v>
      </c>
      <c r="D105" s="416">
        <v>42.6</v>
      </c>
      <c r="E105" s="417">
        <f>+D105-C105</f>
        <v>4.7000000000000028</v>
      </c>
      <c r="F105" s="410">
        <f>IF(C105=0,0,+E105/C105)</f>
        <v>0.12401055408970985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687.4</v>
      </c>
      <c r="D106" s="416">
        <v>744.5</v>
      </c>
      <c r="E106" s="417">
        <f>+D106-C106</f>
        <v>57.100000000000023</v>
      </c>
      <c r="F106" s="410">
        <f>IF(C106=0,0,+E106/C106)</f>
        <v>8.3066627873145227E-2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1283.8</v>
      </c>
      <c r="D107" s="418">
        <f>SUM(D104:D106)</f>
        <v>1363.6</v>
      </c>
      <c r="E107" s="418">
        <f>+D107-C107</f>
        <v>79.799999999999955</v>
      </c>
      <c r="F107" s="402">
        <f>IF(C107=0,0,+E107/C107)</f>
        <v>6.2159214830970526E-2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38" sqref="B38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8525</v>
      </c>
      <c r="D12" s="409">
        <v>8237</v>
      </c>
      <c r="E12" s="409">
        <f>+D12-C12</f>
        <v>-288</v>
      </c>
      <c r="F12" s="410">
        <f>IF(C12=0,0,+E12/C12)</f>
        <v>-3.3782991202346041E-2</v>
      </c>
    </row>
    <row r="13" spans="1:6" ht="15.75" customHeight="1" x14ac:dyDescent="0.25">
      <c r="A13" s="374"/>
      <c r="B13" s="399" t="s">
        <v>622</v>
      </c>
      <c r="C13" s="401">
        <f>SUM(C11:C12)</f>
        <v>8525</v>
      </c>
      <c r="D13" s="401">
        <f>SUM(D11:D12)</f>
        <v>8237</v>
      </c>
      <c r="E13" s="401">
        <f>+D13-C13</f>
        <v>-288</v>
      </c>
      <c r="F13" s="402">
        <f>IF(C13=0,0,+E13/C13)</f>
        <v>-3.3782991202346041E-2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3705</v>
      </c>
      <c r="D16" s="409">
        <v>4080</v>
      </c>
      <c r="E16" s="409">
        <f>+D16-C16</f>
        <v>375</v>
      </c>
      <c r="F16" s="410">
        <f>IF(C16=0,0,+E16/C16)</f>
        <v>0.10121457489878542</v>
      </c>
    </row>
    <row r="17" spans="1:6" ht="15.75" customHeight="1" x14ac:dyDescent="0.25">
      <c r="A17" s="374"/>
      <c r="B17" s="399" t="s">
        <v>623</v>
      </c>
      <c r="C17" s="401">
        <f>SUM(C15:C16)</f>
        <v>3705</v>
      </c>
      <c r="D17" s="401">
        <f>SUM(D15:D16)</f>
        <v>4080</v>
      </c>
      <c r="E17" s="401">
        <f>+D17-C17</f>
        <v>375</v>
      </c>
      <c r="F17" s="402">
        <f>IF(C17=0,0,+E17/C17)</f>
        <v>0.10121457489878542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25370</v>
      </c>
      <c r="D20" s="409">
        <v>25686</v>
      </c>
      <c r="E20" s="409">
        <f>+D20-C20</f>
        <v>316</v>
      </c>
      <c r="F20" s="410">
        <f>IF(C20=0,0,+E20/C20)</f>
        <v>1.2455656286953094E-2</v>
      </c>
    </row>
    <row r="21" spans="1:6" ht="15.75" customHeight="1" x14ac:dyDescent="0.25">
      <c r="A21" s="374"/>
      <c r="B21" s="399" t="s">
        <v>625</v>
      </c>
      <c r="C21" s="401">
        <f>SUM(C19:C20)</f>
        <v>25370</v>
      </c>
      <c r="D21" s="401">
        <f>SUM(D19:D20)</f>
        <v>25686</v>
      </c>
      <c r="E21" s="401">
        <f>+D21-C21</f>
        <v>316</v>
      </c>
      <c r="F21" s="402">
        <f>IF(C21=0,0,+E21/C21)</f>
        <v>1.2455656286953094E-2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75" bottom="0.75" header="0.3" footer="0.3"/>
  <pageSetup scale="82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activeCell="B38" sqref="B38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151635646</v>
      </c>
      <c r="D15" s="448">
        <v>162559668</v>
      </c>
      <c r="E15" s="448">
        <f t="shared" ref="E15:E24" si="0">D15-C15</f>
        <v>10924022</v>
      </c>
      <c r="F15" s="449">
        <f t="shared" ref="F15:F24" si="1">IF(C15=0,0,E15/C15)</f>
        <v>7.2041253413461903E-2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77290861</v>
      </c>
      <c r="D16" s="448">
        <v>79769207</v>
      </c>
      <c r="E16" s="448">
        <f t="shared" si="0"/>
        <v>2478346</v>
      </c>
      <c r="F16" s="449">
        <f t="shared" si="1"/>
        <v>3.2065188146888413E-2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0.50971432535065009</v>
      </c>
      <c r="D17" s="453">
        <f>IF(LN_IA1=0,0,LN_IA2/LN_IA1)</f>
        <v>0.49070724603103888</v>
      </c>
      <c r="E17" s="454">
        <f t="shared" si="0"/>
        <v>-1.9007079319611209E-2</v>
      </c>
      <c r="F17" s="449">
        <f t="shared" si="1"/>
        <v>-3.7289670653332302E-2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3996</v>
      </c>
      <c r="D18" s="456">
        <v>4017</v>
      </c>
      <c r="E18" s="456">
        <f t="shared" si="0"/>
        <v>21</v>
      </c>
      <c r="F18" s="449">
        <f t="shared" si="1"/>
        <v>5.2552552552552556E-3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1.6297999999999999</v>
      </c>
      <c r="D19" s="459">
        <v>1.6897</v>
      </c>
      <c r="E19" s="460">
        <f t="shared" si="0"/>
        <v>5.9900000000000064E-2</v>
      </c>
      <c r="F19" s="449">
        <f t="shared" si="1"/>
        <v>3.675297582525467E-2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6512.6808000000001</v>
      </c>
      <c r="D20" s="463">
        <f>LN_IA4*LN_IA5</f>
        <v>6787.5249000000003</v>
      </c>
      <c r="E20" s="463">
        <f t="shared" si="0"/>
        <v>274.84410000000025</v>
      </c>
      <c r="F20" s="449">
        <f t="shared" si="1"/>
        <v>4.2201377349861867E-2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11867.748992089402</v>
      </c>
      <c r="D21" s="465">
        <f>IF(LN_IA6=0,0,LN_IA2/LN_IA6)</f>
        <v>11752.326241926567</v>
      </c>
      <c r="E21" s="465">
        <f t="shared" si="0"/>
        <v>-115.42275016283565</v>
      </c>
      <c r="F21" s="449">
        <f t="shared" si="1"/>
        <v>-9.7257491913396669E-3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19230</v>
      </c>
      <c r="D22" s="456">
        <v>18612</v>
      </c>
      <c r="E22" s="456">
        <f t="shared" si="0"/>
        <v>-618</v>
      </c>
      <c r="F22" s="449">
        <f t="shared" si="1"/>
        <v>-3.2137285491419657E-2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4019.2855434217367</v>
      </c>
      <c r="D23" s="465">
        <f>IF(LN_IA8=0,0,LN_IA2/LN_IA8)</f>
        <v>4285.9019449817324</v>
      </c>
      <c r="E23" s="465">
        <f t="shared" si="0"/>
        <v>266.61640155999567</v>
      </c>
      <c r="F23" s="449">
        <f t="shared" si="1"/>
        <v>6.6334277243964415E-2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4.8123123123123124</v>
      </c>
      <c r="D24" s="466">
        <f>IF(LN_IA4=0,0,LN_IA8/LN_IA4)</f>
        <v>4.6333084391336818</v>
      </c>
      <c r="E24" s="466">
        <f t="shared" si="0"/>
        <v>-0.17900387317863053</v>
      </c>
      <c r="F24" s="449">
        <f t="shared" si="1"/>
        <v>-3.7197060697961914E-2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153670945</v>
      </c>
      <c r="D27" s="448">
        <v>183731635</v>
      </c>
      <c r="E27" s="448">
        <f t="shared" ref="E27:E32" si="2">D27-C27</f>
        <v>30060690</v>
      </c>
      <c r="F27" s="449">
        <f t="shared" ref="F27:F32" si="3">IF(C27=0,0,E27/C27)</f>
        <v>0.19561726518959066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47499859</v>
      </c>
      <c r="D28" s="448">
        <v>50107431</v>
      </c>
      <c r="E28" s="448">
        <f t="shared" si="2"/>
        <v>2607572</v>
      </c>
      <c r="F28" s="449">
        <f t="shared" si="3"/>
        <v>5.4896415587254693E-2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0.30910110561238496</v>
      </c>
      <c r="D29" s="453">
        <f>IF(LN_IA11=0,0,LN_IA12/LN_IA11)</f>
        <v>0.27272075927479772</v>
      </c>
      <c r="E29" s="454">
        <f t="shared" si="2"/>
        <v>-3.6380346337587244E-2</v>
      </c>
      <c r="F29" s="449">
        <f t="shared" si="3"/>
        <v>-0.11769723781968112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1.0134222991340704</v>
      </c>
      <c r="D30" s="453">
        <f>IF(LN_IA1=0,0,LN_IA11/LN_IA1)</f>
        <v>1.1302412047249013</v>
      </c>
      <c r="E30" s="454">
        <f t="shared" si="2"/>
        <v>0.11681890559083086</v>
      </c>
      <c r="F30" s="449">
        <f t="shared" si="3"/>
        <v>0.11527169442654658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4049.6355073397453</v>
      </c>
      <c r="D31" s="463">
        <f>LN_IA14*LN_IA4</f>
        <v>4540.1789193799286</v>
      </c>
      <c r="E31" s="463">
        <f t="shared" si="2"/>
        <v>490.54341204018328</v>
      </c>
      <c r="F31" s="449">
        <f t="shared" si="3"/>
        <v>0.12113273185971919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11729.41587308514</v>
      </c>
      <c r="D32" s="465">
        <f>IF(LN_IA15=0,0,LN_IA12/LN_IA15)</f>
        <v>11036.444133537227</v>
      </c>
      <c r="E32" s="465">
        <f t="shared" si="2"/>
        <v>-692.97173954791288</v>
      </c>
      <c r="F32" s="449">
        <f t="shared" si="3"/>
        <v>-5.9079816680218313E-2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305306591</v>
      </c>
      <c r="D35" s="448">
        <f>LN_IA1+LN_IA11</f>
        <v>346291303</v>
      </c>
      <c r="E35" s="448">
        <f>D35-C35</f>
        <v>40984712</v>
      </c>
      <c r="F35" s="449">
        <f>IF(C35=0,0,E35/C35)</f>
        <v>0.13424116349980797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124790720</v>
      </c>
      <c r="D36" s="448">
        <f>LN_IA2+LN_IA12</f>
        <v>129876638</v>
      </c>
      <c r="E36" s="448">
        <f>D36-C36</f>
        <v>5085918</v>
      </c>
      <c r="F36" s="449">
        <f>IF(C36=0,0,E36/C36)</f>
        <v>4.0755578619948662E-2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180515871</v>
      </c>
      <c r="D37" s="448">
        <f>LN_IA17-LN_IA18</f>
        <v>216414665</v>
      </c>
      <c r="E37" s="448">
        <f>D37-C37</f>
        <v>35898794</v>
      </c>
      <c r="F37" s="449">
        <f>IF(C37=0,0,E37/C37)</f>
        <v>0.19886779927511194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70551390</v>
      </c>
      <c r="D42" s="448">
        <v>78281643</v>
      </c>
      <c r="E42" s="448">
        <f t="shared" ref="E42:E53" si="4">D42-C42</f>
        <v>7730253</v>
      </c>
      <c r="F42" s="449">
        <f t="shared" ref="F42:F53" si="5">IF(C42=0,0,E42/C42)</f>
        <v>0.1095691098361067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39291884</v>
      </c>
      <c r="D43" s="448">
        <v>39659523</v>
      </c>
      <c r="E43" s="448">
        <f t="shared" si="4"/>
        <v>367639</v>
      </c>
      <c r="F43" s="449">
        <f t="shared" si="5"/>
        <v>9.3566142056206829E-3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0.55692572463845147</v>
      </c>
      <c r="D44" s="453">
        <f>IF(LN_IB1=0,0,LN_IB2/LN_IB1)</f>
        <v>0.50662609368073686</v>
      </c>
      <c r="E44" s="454">
        <f t="shared" si="4"/>
        <v>-5.0299630957714614E-2</v>
      </c>
      <c r="F44" s="449">
        <f t="shared" si="5"/>
        <v>-9.0316587531251935E-2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2495</v>
      </c>
      <c r="D45" s="456">
        <v>2617</v>
      </c>
      <c r="E45" s="456">
        <f t="shared" si="4"/>
        <v>122</v>
      </c>
      <c r="F45" s="449">
        <f t="shared" si="5"/>
        <v>4.8897795591182368E-2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1.3859999999999999</v>
      </c>
      <c r="D46" s="459">
        <v>1.3859999999999999</v>
      </c>
      <c r="E46" s="460">
        <f t="shared" si="4"/>
        <v>0</v>
      </c>
      <c r="F46" s="449">
        <f t="shared" si="5"/>
        <v>0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3458.0699999999997</v>
      </c>
      <c r="D47" s="463">
        <f>LN_IB4*LN_IB5</f>
        <v>3627.1619999999998</v>
      </c>
      <c r="E47" s="463">
        <f t="shared" si="4"/>
        <v>169.0920000000001</v>
      </c>
      <c r="F47" s="449">
        <f t="shared" si="5"/>
        <v>4.8897795591182396E-2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11362.373809668399</v>
      </c>
      <c r="D48" s="465">
        <f>IF(LN_IB6=0,0,LN_IB2/LN_IB6)</f>
        <v>10934.036858568767</v>
      </c>
      <c r="E48" s="465">
        <f t="shared" si="4"/>
        <v>-428.33695109963264</v>
      </c>
      <c r="F48" s="449">
        <f t="shared" si="5"/>
        <v>-3.7697840105837294E-2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505.37518242100305</v>
      </c>
      <c r="D49" s="465">
        <f>LN_IA7-LN_IB7</f>
        <v>818.28938335780003</v>
      </c>
      <c r="E49" s="465">
        <f t="shared" si="4"/>
        <v>312.91420093679699</v>
      </c>
      <c r="F49" s="449">
        <f t="shared" si="5"/>
        <v>0.61917207615494596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1747622.7570745978</v>
      </c>
      <c r="D50" s="479">
        <f>LN_IB8*LN_IB6</f>
        <v>2968068.1563188448</v>
      </c>
      <c r="E50" s="479">
        <f t="shared" si="4"/>
        <v>1220445.399244247</v>
      </c>
      <c r="F50" s="449">
        <f t="shared" si="5"/>
        <v>0.69834602136172108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9366</v>
      </c>
      <c r="D51" s="456">
        <v>9586</v>
      </c>
      <c r="E51" s="456">
        <f t="shared" si="4"/>
        <v>220</v>
      </c>
      <c r="F51" s="449">
        <f t="shared" si="5"/>
        <v>2.3489216314328421E-2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4195.1616485159084</v>
      </c>
      <c r="D52" s="465">
        <f>IF(LN_IB10=0,0,LN_IB2/LN_IB10)</f>
        <v>4137.233778426873</v>
      </c>
      <c r="E52" s="465">
        <f t="shared" si="4"/>
        <v>-57.927870089035423</v>
      </c>
      <c r="F52" s="449">
        <f t="shared" si="5"/>
        <v>-1.3808256973727851E-2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3.7539078156312624</v>
      </c>
      <c r="D53" s="466">
        <f>IF(LN_IB4=0,0,LN_IB10/LN_IB4)</f>
        <v>3.6629728696981276</v>
      </c>
      <c r="E53" s="466">
        <f t="shared" si="4"/>
        <v>-9.0934945933134781E-2</v>
      </c>
      <c r="F53" s="449">
        <f t="shared" si="5"/>
        <v>-2.4224075390046049E-2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207724851</v>
      </c>
      <c r="D56" s="448">
        <v>244841132</v>
      </c>
      <c r="E56" s="448">
        <f t="shared" ref="E56:E63" si="6">D56-C56</f>
        <v>37116281</v>
      </c>
      <c r="F56" s="449">
        <f t="shared" ref="F56:F63" si="7">IF(C56=0,0,E56/C56)</f>
        <v>0.17868002225694218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114085973</v>
      </c>
      <c r="D57" s="448">
        <v>117842159</v>
      </c>
      <c r="E57" s="448">
        <f t="shared" si="6"/>
        <v>3756186</v>
      </c>
      <c r="F57" s="449">
        <f t="shared" si="7"/>
        <v>3.2924170265874839E-2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0.54921677618630238</v>
      </c>
      <c r="D58" s="453">
        <f>IF(LN_IB13=0,0,LN_IB14/LN_IB13)</f>
        <v>0.4813004989700832</v>
      </c>
      <c r="E58" s="454">
        <f t="shared" si="6"/>
        <v>-6.7916277216219179E-2</v>
      </c>
      <c r="F58" s="449">
        <f t="shared" si="7"/>
        <v>-0.12366023792612807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2.9443055764032429</v>
      </c>
      <c r="D59" s="453">
        <f>IF(LN_IB1=0,0,LN_IB13/LN_IB1)</f>
        <v>3.127695365310613</v>
      </c>
      <c r="E59" s="454">
        <f t="shared" si="6"/>
        <v>0.18338978890737012</v>
      </c>
      <c r="F59" s="449">
        <f t="shared" si="7"/>
        <v>6.2286262124802511E-2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7346.0424131260907</v>
      </c>
      <c r="D60" s="463">
        <f>LN_IB16*LN_IB4</f>
        <v>8185.1787710178742</v>
      </c>
      <c r="E60" s="463">
        <f t="shared" si="6"/>
        <v>839.13635789178352</v>
      </c>
      <c r="F60" s="449">
        <f t="shared" si="7"/>
        <v>0.11422971862950231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15530.263315135284</v>
      </c>
      <c r="D61" s="465">
        <f>IF(LN_IB17=0,0,LN_IB14/LN_IB17)</f>
        <v>14397.017132631991</v>
      </c>
      <c r="E61" s="465">
        <f t="shared" si="6"/>
        <v>-1133.2461825032933</v>
      </c>
      <c r="F61" s="449">
        <f t="shared" si="7"/>
        <v>-7.2970184697310883E-2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-3800.8474420501443</v>
      </c>
      <c r="D62" s="465">
        <f>LN_IA16-LN_IB18</f>
        <v>-3360.5729990947639</v>
      </c>
      <c r="E62" s="465">
        <f t="shared" si="6"/>
        <v>440.27444295538044</v>
      </c>
      <c r="F62" s="449">
        <f t="shared" si="7"/>
        <v>-0.11583586283534185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-27921186.515122171</v>
      </c>
      <c r="D63" s="448">
        <f>LN_IB19*LN_IB17</f>
        <v>-27506890.77064633</v>
      </c>
      <c r="E63" s="448">
        <f t="shared" si="6"/>
        <v>414295.74447584152</v>
      </c>
      <c r="F63" s="449">
        <f t="shared" si="7"/>
        <v>-1.4838042224726306E-2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278276241</v>
      </c>
      <c r="D66" s="448">
        <f>LN_IB1+LN_IB13</f>
        <v>323122775</v>
      </c>
      <c r="E66" s="448">
        <f>D66-C66</f>
        <v>44846534</v>
      </c>
      <c r="F66" s="449">
        <f>IF(C66=0,0,E66/C66)</f>
        <v>0.1611583290001391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153377857</v>
      </c>
      <c r="D67" s="448">
        <f>LN_IB2+LN_IB14</f>
        <v>157501682</v>
      </c>
      <c r="E67" s="448">
        <f>D67-C67</f>
        <v>4123825</v>
      </c>
      <c r="F67" s="449">
        <f>IF(C67=0,0,E67/C67)</f>
        <v>2.6886703730643467E-2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124898384</v>
      </c>
      <c r="D68" s="448">
        <f>LN_IB21-LN_IB22</f>
        <v>165621093</v>
      </c>
      <c r="E68" s="448">
        <f>D68-C68</f>
        <v>40722709</v>
      </c>
      <c r="F68" s="449">
        <f>IF(C68=0,0,E68/C68)</f>
        <v>0.32604672451166383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-26173563.758047573</v>
      </c>
      <c r="D70" s="441">
        <f>LN_IB9+LN_IB20</f>
        <v>-24538822.614327487</v>
      </c>
      <c r="E70" s="448">
        <f>D70-C70</f>
        <v>1634741.1437200867</v>
      </c>
      <c r="F70" s="449">
        <f>IF(C70=0,0,E70/C70)</f>
        <v>-6.2457721036076087E-2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274937974</v>
      </c>
      <c r="D73" s="488">
        <v>319053572</v>
      </c>
      <c r="E73" s="488">
        <f>D73-C73</f>
        <v>44115598</v>
      </c>
      <c r="F73" s="489">
        <f>IF(C73=0,0,E73/C73)</f>
        <v>0.16045654719198593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152517292</v>
      </c>
      <c r="D74" s="488">
        <v>156608607</v>
      </c>
      <c r="E74" s="488">
        <f>D74-C74</f>
        <v>4091315</v>
      </c>
      <c r="F74" s="489">
        <f>IF(C74=0,0,E74/C74)</f>
        <v>2.6825253362090903E-2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122420682</v>
      </c>
      <c r="D76" s="441">
        <f>LN_IB32-LN_IB33</f>
        <v>162444965</v>
      </c>
      <c r="E76" s="488">
        <f>D76-C76</f>
        <v>40024283</v>
      </c>
      <c r="F76" s="489">
        <f>IF(E76=0,0,E76/C76)</f>
        <v>0.32694053280964402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0.44526654582826014</v>
      </c>
      <c r="D77" s="453">
        <f>IF(LN_IB32=0,0,LN_IB34/LN_IB32)</f>
        <v>0.50914636053659357</v>
      </c>
      <c r="E77" s="493">
        <f>D77-C77</f>
        <v>6.3879814708333427E-2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571912</v>
      </c>
      <c r="D83" s="448">
        <v>419392</v>
      </c>
      <c r="E83" s="448">
        <f t="shared" ref="E83:E95" si="8">D83-C83</f>
        <v>-152520</v>
      </c>
      <c r="F83" s="449">
        <f t="shared" ref="F83:F95" si="9">IF(C83=0,0,E83/C83)</f>
        <v>-0.2666843850102813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154699</v>
      </c>
      <c r="D84" s="448">
        <v>128016</v>
      </c>
      <c r="E84" s="448">
        <f t="shared" si="8"/>
        <v>-26683</v>
      </c>
      <c r="F84" s="449">
        <f t="shared" si="9"/>
        <v>-0.17248333861240214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0.27049441172767841</v>
      </c>
      <c r="D85" s="453">
        <f>IF(LN_IC1=0,0,LN_IC2/LN_IC1)</f>
        <v>0.30524187395086222</v>
      </c>
      <c r="E85" s="454">
        <f t="shared" si="8"/>
        <v>3.4747462223183812E-2</v>
      </c>
      <c r="F85" s="449">
        <f t="shared" si="9"/>
        <v>0.12845907610899551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21</v>
      </c>
      <c r="D86" s="456">
        <v>22</v>
      </c>
      <c r="E86" s="456">
        <f t="shared" si="8"/>
        <v>1</v>
      </c>
      <c r="F86" s="449">
        <f t="shared" si="9"/>
        <v>4.7619047619047616E-2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1.2554000000000001</v>
      </c>
      <c r="D87" s="459">
        <v>1.4881</v>
      </c>
      <c r="E87" s="460">
        <f t="shared" si="8"/>
        <v>0.23269999999999991</v>
      </c>
      <c r="F87" s="449">
        <f t="shared" si="9"/>
        <v>0.18535924804843071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26.363400000000002</v>
      </c>
      <c r="D88" s="463">
        <f>LN_IC4*LN_IC5</f>
        <v>32.738199999999999</v>
      </c>
      <c r="E88" s="463">
        <f t="shared" si="8"/>
        <v>6.3747999999999969</v>
      </c>
      <c r="F88" s="449">
        <f t="shared" si="9"/>
        <v>0.24180492652692734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5867.9457126167335</v>
      </c>
      <c r="D89" s="465">
        <f>IF(LN_IC6=0,0,LN_IC2/LN_IC6)</f>
        <v>3910.2943961488413</v>
      </c>
      <c r="E89" s="465">
        <f t="shared" si="8"/>
        <v>-1957.6513164678922</v>
      </c>
      <c r="F89" s="449">
        <f t="shared" si="9"/>
        <v>-0.33361783021590075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5494.4280970516656</v>
      </c>
      <c r="D90" s="465">
        <f>LN_IB7-LN_IC7</f>
        <v>7023.7424624199248</v>
      </c>
      <c r="E90" s="465">
        <f t="shared" si="8"/>
        <v>1529.3143653682591</v>
      </c>
      <c r="F90" s="449">
        <f t="shared" si="9"/>
        <v>0.27833913527577075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5999.8032794726687</v>
      </c>
      <c r="D91" s="465">
        <f>LN_IA7-LN_IC7</f>
        <v>7842.0318457777248</v>
      </c>
      <c r="E91" s="465">
        <f t="shared" si="8"/>
        <v>1842.2285663050561</v>
      </c>
      <c r="F91" s="449">
        <f t="shared" si="9"/>
        <v>0.30704816149688363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158175.21377804977</v>
      </c>
      <c r="D92" s="441">
        <f>LN_IC9*LN_IC6</f>
        <v>256734.00697344029</v>
      </c>
      <c r="E92" s="441">
        <f t="shared" si="8"/>
        <v>98558.793195390521</v>
      </c>
      <c r="F92" s="449">
        <f t="shared" si="9"/>
        <v>0.62309884615479294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93</v>
      </c>
      <c r="D93" s="456">
        <v>61</v>
      </c>
      <c r="E93" s="456">
        <f t="shared" si="8"/>
        <v>-32</v>
      </c>
      <c r="F93" s="449">
        <f t="shared" si="9"/>
        <v>-0.34408602150537637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1663.4301075268818</v>
      </c>
      <c r="D94" s="499">
        <f>IF(LN_IC11=0,0,LN_IC2/LN_IC11)</f>
        <v>2098.622950819672</v>
      </c>
      <c r="E94" s="499">
        <f t="shared" si="8"/>
        <v>435.19284329279026</v>
      </c>
      <c r="F94" s="449">
        <f t="shared" si="9"/>
        <v>0.26162376244338681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4.4285714285714288</v>
      </c>
      <c r="D95" s="466">
        <f>IF(LN_IC4=0,0,LN_IC11/LN_IC4)</f>
        <v>2.7727272727272729</v>
      </c>
      <c r="E95" s="466">
        <f t="shared" si="8"/>
        <v>-1.6558441558441559</v>
      </c>
      <c r="F95" s="449">
        <f t="shared" si="9"/>
        <v>-0.37390029325513197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2766356</v>
      </c>
      <c r="D98" s="448">
        <v>3649810</v>
      </c>
      <c r="E98" s="448">
        <f t="shared" ref="E98:E106" si="10">D98-C98</f>
        <v>883454</v>
      </c>
      <c r="F98" s="449">
        <f t="shared" ref="F98:F106" si="11">IF(C98=0,0,E98/C98)</f>
        <v>0.3193565831729539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705866</v>
      </c>
      <c r="D99" s="448">
        <v>765058</v>
      </c>
      <c r="E99" s="448">
        <f t="shared" si="10"/>
        <v>59192</v>
      </c>
      <c r="F99" s="449">
        <f t="shared" si="11"/>
        <v>8.385727602689462E-2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0.25516094096349135</v>
      </c>
      <c r="D100" s="453">
        <f>IF(LN_IC14=0,0,LN_IC15/LN_IC14)</f>
        <v>0.20961584301648578</v>
      </c>
      <c r="E100" s="454">
        <f t="shared" si="10"/>
        <v>-4.5545097947005564E-2</v>
      </c>
      <c r="F100" s="449">
        <f t="shared" si="11"/>
        <v>-0.17849557136380914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4.8370308718823871</v>
      </c>
      <c r="D101" s="453">
        <f>IF(LN_IC1=0,0,LN_IC14/LN_IC1)</f>
        <v>8.7026218907370669</v>
      </c>
      <c r="E101" s="454">
        <f t="shared" si="10"/>
        <v>3.8655910188546798</v>
      </c>
      <c r="F101" s="449">
        <f t="shared" si="11"/>
        <v>0.79916608374888043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101.57764830953013</v>
      </c>
      <c r="D102" s="463">
        <f>LN_IC17*LN_IC4</f>
        <v>191.45768159621548</v>
      </c>
      <c r="E102" s="463">
        <f t="shared" si="10"/>
        <v>89.880033286685347</v>
      </c>
      <c r="F102" s="449">
        <f t="shared" si="11"/>
        <v>0.88484065916549381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6949.0287651577264</v>
      </c>
      <c r="D103" s="465">
        <f>IF(LN_IC18=0,0,LN_IC15/LN_IC18)</f>
        <v>3995.9639833804549</v>
      </c>
      <c r="E103" s="465">
        <f t="shared" si="10"/>
        <v>-2953.0647817772715</v>
      </c>
      <c r="F103" s="449">
        <f t="shared" si="11"/>
        <v>-0.42496079402978898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8581.2345499775583</v>
      </c>
      <c r="D104" s="465">
        <f>LN_IB18-LN_IC19</f>
        <v>10401.053149251537</v>
      </c>
      <c r="E104" s="465">
        <f t="shared" si="10"/>
        <v>1819.8185992739782</v>
      </c>
      <c r="F104" s="449">
        <f t="shared" si="11"/>
        <v>0.21206955580520023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4780.3871079274131</v>
      </c>
      <c r="D105" s="465">
        <f>LN_IA16-LN_IC19</f>
        <v>7040.4801501567717</v>
      </c>
      <c r="E105" s="465">
        <f t="shared" si="10"/>
        <v>2260.0930422293586</v>
      </c>
      <c r="F105" s="449">
        <f t="shared" si="11"/>
        <v>0.47278452376406932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485580.48043246265</v>
      </c>
      <c r="D106" s="448">
        <f>LN_IC21*LN_IC18</f>
        <v>1347954.0068731906</v>
      </c>
      <c r="E106" s="448">
        <f t="shared" si="10"/>
        <v>862373.52644072799</v>
      </c>
      <c r="F106" s="449">
        <f t="shared" si="11"/>
        <v>1.7759641525802063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3338268</v>
      </c>
      <c r="D109" s="448">
        <f>LN_IC1+LN_IC14</f>
        <v>4069202</v>
      </c>
      <c r="E109" s="448">
        <f>D109-C109</f>
        <v>730934</v>
      </c>
      <c r="F109" s="449">
        <f>IF(C109=0,0,E109/C109)</f>
        <v>0.21895605745254726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860565</v>
      </c>
      <c r="D110" s="448">
        <f>LN_IC2+LN_IC15</f>
        <v>893074</v>
      </c>
      <c r="E110" s="448">
        <f>D110-C110</f>
        <v>32509</v>
      </c>
      <c r="F110" s="449">
        <f>IF(C110=0,0,E110/C110)</f>
        <v>3.7776344610808019E-2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2477703</v>
      </c>
      <c r="D111" s="448">
        <f>LN_IC23-LN_IC24</f>
        <v>3176128</v>
      </c>
      <c r="E111" s="448">
        <f>D111-C111</f>
        <v>698425</v>
      </c>
      <c r="F111" s="449">
        <f>IF(C111=0,0,E111/C111)</f>
        <v>0.28188406762230983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643755.69421051245</v>
      </c>
      <c r="D113" s="448">
        <f>LN_IC10+LN_IC22</f>
        <v>1604688.0138466309</v>
      </c>
      <c r="E113" s="448">
        <f>D113-C113</f>
        <v>960932.31963611848</v>
      </c>
      <c r="F113" s="449">
        <f>IF(C113=0,0,E113/C113)</f>
        <v>1.4926971959674615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71652252</v>
      </c>
      <c r="D118" s="448">
        <v>76233705</v>
      </c>
      <c r="E118" s="448">
        <f t="shared" ref="E118:E130" si="12">D118-C118</f>
        <v>4581453</v>
      </c>
      <c r="F118" s="449">
        <f t="shared" ref="F118:F130" si="13">IF(C118=0,0,E118/C118)</f>
        <v>6.3940111749732589E-2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26840885</v>
      </c>
      <c r="D119" s="448">
        <v>30400390</v>
      </c>
      <c r="E119" s="448">
        <f t="shared" si="12"/>
        <v>3559505</v>
      </c>
      <c r="F119" s="449">
        <f t="shared" si="13"/>
        <v>0.13261503858758755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0.37459932173520522</v>
      </c>
      <c r="D120" s="453">
        <f>IF(LN_ID1=0,0,LN_1D2/LN_ID1)</f>
        <v>0.39877886034792615</v>
      </c>
      <c r="E120" s="454">
        <f t="shared" si="12"/>
        <v>2.417953861272093E-2</v>
      </c>
      <c r="F120" s="449">
        <f t="shared" si="13"/>
        <v>6.454773730159831E-2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2300</v>
      </c>
      <c r="D121" s="456">
        <v>2394</v>
      </c>
      <c r="E121" s="456">
        <f t="shared" si="12"/>
        <v>94</v>
      </c>
      <c r="F121" s="449">
        <f t="shared" si="13"/>
        <v>4.0869565217391303E-2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1.4349000000000001</v>
      </c>
      <c r="D122" s="459">
        <v>1.4126000000000001</v>
      </c>
      <c r="E122" s="460">
        <f t="shared" si="12"/>
        <v>-2.2299999999999986E-2</v>
      </c>
      <c r="F122" s="449">
        <f t="shared" si="13"/>
        <v>-1.5541152693567485E-2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3300.27</v>
      </c>
      <c r="D123" s="463">
        <f>LN_ID4*LN_ID5</f>
        <v>3381.7644</v>
      </c>
      <c r="E123" s="463">
        <f t="shared" si="12"/>
        <v>81.494400000000041</v>
      </c>
      <c r="F123" s="449">
        <f t="shared" si="13"/>
        <v>2.4693252370260627E-2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8132.9360931075335</v>
      </c>
      <c r="D124" s="465">
        <f>IF(LN_ID6=0,0,LN_1D2/LN_ID6)</f>
        <v>8989.5055965459924</v>
      </c>
      <c r="E124" s="465">
        <f t="shared" si="12"/>
        <v>856.56950343845892</v>
      </c>
      <c r="F124" s="449">
        <f t="shared" si="13"/>
        <v>0.1053210665413172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3229.4377165608657</v>
      </c>
      <c r="D125" s="465">
        <f>LN_IB7-LN_ID7</f>
        <v>1944.5312620227742</v>
      </c>
      <c r="E125" s="465">
        <f t="shared" si="12"/>
        <v>-1284.9064545380916</v>
      </c>
      <c r="F125" s="449">
        <f t="shared" si="13"/>
        <v>-0.39787311826729721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3734.8128989818688</v>
      </c>
      <c r="D126" s="465">
        <f>LN_IA7-LN_ID7</f>
        <v>2762.8206453805742</v>
      </c>
      <c r="E126" s="465">
        <f t="shared" si="12"/>
        <v>-971.99225360129458</v>
      </c>
      <c r="F126" s="449">
        <f t="shared" si="13"/>
        <v>-0.26025192690810967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12325890.966122892</v>
      </c>
      <c r="D127" s="479">
        <f>LN_ID9*LN_ID6</f>
        <v>9343208.5021330509</v>
      </c>
      <c r="E127" s="479">
        <f t="shared" si="12"/>
        <v>-2982682.4639898408</v>
      </c>
      <c r="F127" s="449">
        <f t="shared" si="13"/>
        <v>-0.24198514104883759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9594</v>
      </c>
      <c r="D128" s="456">
        <v>9373</v>
      </c>
      <c r="E128" s="456">
        <f t="shared" si="12"/>
        <v>-221</v>
      </c>
      <c r="F128" s="449">
        <f t="shared" si="13"/>
        <v>-2.3035230352303523E-2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2797.6740671252865</v>
      </c>
      <c r="D129" s="465">
        <f>IF(LN_ID11=0,0,LN_1D2/LN_ID11)</f>
        <v>3243.4001920409687</v>
      </c>
      <c r="E129" s="465">
        <f t="shared" si="12"/>
        <v>445.72612491568225</v>
      </c>
      <c r="F129" s="449">
        <f t="shared" si="13"/>
        <v>0.15932024754180257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4.1713043478260872</v>
      </c>
      <c r="D130" s="466">
        <f>IF(LN_ID4=0,0,LN_ID11/LN_ID4)</f>
        <v>3.9152046783625729</v>
      </c>
      <c r="E130" s="466">
        <f t="shared" si="12"/>
        <v>-0.25609966946351426</v>
      </c>
      <c r="F130" s="449">
        <f t="shared" si="13"/>
        <v>-6.139558471608117E-2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104478208</v>
      </c>
      <c r="D133" s="448">
        <v>120947843</v>
      </c>
      <c r="E133" s="448">
        <f t="shared" ref="E133:E141" si="14">D133-C133</f>
        <v>16469635</v>
      </c>
      <c r="F133" s="449">
        <f t="shared" ref="F133:F141" si="15">IF(C133=0,0,E133/C133)</f>
        <v>0.15763703565819198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36745878</v>
      </c>
      <c r="D134" s="448">
        <v>38640049</v>
      </c>
      <c r="E134" s="448">
        <f t="shared" si="14"/>
        <v>1894171</v>
      </c>
      <c r="F134" s="449">
        <f t="shared" si="15"/>
        <v>5.154784980236423E-2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0.35170854002396368</v>
      </c>
      <c r="D135" s="453">
        <f>IF(LN_ID14=0,0,LN_ID15/LN_ID14)</f>
        <v>0.31947695834476353</v>
      </c>
      <c r="E135" s="454">
        <f t="shared" si="14"/>
        <v>-3.223158167920015E-2</v>
      </c>
      <c r="F135" s="449">
        <f t="shared" si="15"/>
        <v>-9.1642874742262584E-2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1.4581287410198915</v>
      </c>
      <c r="D136" s="453">
        <f>IF(LN_ID1=0,0,LN_ID14/LN_ID1)</f>
        <v>1.5865402711307288</v>
      </c>
      <c r="E136" s="454">
        <f t="shared" si="14"/>
        <v>0.12841153011083728</v>
      </c>
      <c r="F136" s="449">
        <f t="shared" si="15"/>
        <v>8.8065975588012574E-2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3353.6961043457504</v>
      </c>
      <c r="D137" s="463">
        <f>LN_ID17*LN_ID4</f>
        <v>3798.1774090869649</v>
      </c>
      <c r="E137" s="463">
        <f t="shared" si="14"/>
        <v>444.48130474121444</v>
      </c>
      <c r="F137" s="449">
        <f t="shared" si="15"/>
        <v>0.13253475893813141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10956.829974064838</v>
      </c>
      <c r="D138" s="465">
        <f>IF(LN_ID18=0,0,LN_ID15/LN_ID18)</f>
        <v>10173.31336539348</v>
      </c>
      <c r="E138" s="465">
        <f t="shared" si="14"/>
        <v>-783.51660867135797</v>
      </c>
      <c r="F138" s="449">
        <f t="shared" si="15"/>
        <v>-7.1509424762998652E-2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4573.4333410704457</v>
      </c>
      <c r="D139" s="465">
        <f>LN_IB18-LN_ID19</f>
        <v>4223.7037672385104</v>
      </c>
      <c r="E139" s="465">
        <f t="shared" si="14"/>
        <v>-349.72957383193534</v>
      </c>
      <c r="F139" s="449">
        <f t="shared" si="15"/>
        <v>-7.64698089488451E-2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772.58589902030144</v>
      </c>
      <c r="D140" s="465">
        <f>LN_IA16-LN_ID19</f>
        <v>863.13076814374654</v>
      </c>
      <c r="E140" s="465">
        <f t="shared" si="14"/>
        <v>90.544869123445096</v>
      </c>
      <c r="F140" s="449">
        <f t="shared" si="15"/>
        <v>0.11719715469601889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2591018.3198168441</v>
      </c>
      <c r="D141" s="441">
        <f>LN_ID21*LN_ID18</f>
        <v>3278323.7846514569</v>
      </c>
      <c r="E141" s="441">
        <f t="shared" si="14"/>
        <v>687305.46483461279</v>
      </c>
      <c r="F141" s="449">
        <f t="shared" si="15"/>
        <v>0.26526461028002207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176130460</v>
      </c>
      <c r="D144" s="448">
        <f>LN_ID1+LN_ID14</f>
        <v>197181548</v>
      </c>
      <c r="E144" s="448">
        <f>D144-C144</f>
        <v>21051088</v>
      </c>
      <c r="F144" s="449">
        <f>IF(C144=0,0,E144/C144)</f>
        <v>0.1195198604488968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63586763</v>
      </c>
      <c r="D145" s="448">
        <f>LN_1D2+LN_ID15</f>
        <v>69040439</v>
      </c>
      <c r="E145" s="448">
        <f>D145-C145</f>
        <v>5453676</v>
      </c>
      <c r="F145" s="449">
        <f>IF(C145=0,0,E145/C145)</f>
        <v>8.5767473334033381E-2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112543697</v>
      </c>
      <c r="D146" s="448">
        <f>LN_ID23-LN_ID24</f>
        <v>128141109</v>
      </c>
      <c r="E146" s="448">
        <f>D146-C146</f>
        <v>15597412</v>
      </c>
      <c r="F146" s="449">
        <f>IF(C146=0,0,E146/C146)</f>
        <v>0.13858983146786089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14916909.285939736</v>
      </c>
      <c r="D148" s="448">
        <f>LN_ID10+LN_ID22</f>
        <v>12621532.286784507</v>
      </c>
      <c r="E148" s="448">
        <f>D148-C148</f>
        <v>-2295376.999155229</v>
      </c>
      <c r="F148" s="503">
        <f>IF(C148=0,0,E148/C148)</f>
        <v>-0.15387751947508238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325470</v>
      </c>
      <c r="D153" s="448">
        <v>248767</v>
      </c>
      <c r="E153" s="448">
        <f t="shared" ref="E153:E165" si="16">D153-C153</f>
        <v>-76703</v>
      </c>
      <c r="F153" s="449">
        <f t="shared" ref="F153:F165" si="17">IF(C153=0,0,E153/C153)</f>
        <v>-0.23566841798015178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38788</v>
      </c>
      <c r="D154" s="448">
        <v>35042</v>
      </c>
      <c r="E154" s="448">
        <f t="shared" si="16"/>
        <v>-3746</v>
      </c>
      <c r="F154" s="449">
        <f t="shared" si="17"/>
        <v>-9.6576260699185318E-2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0.11917534642209728</v>
      </c>
      <c r="D155" s="453">
        <f>IF(LN_IE1=0,0,LN_IE2/LN_IE1)</f>
        <v>0.14086273500906471</v>
      </c>
      <c r="E155" s="454">
        <f t="shared" si="16"/>
        <v>2.1687388586967435E-2</v>
      </c>
      <c r="F155" s="449">
        <f t="shared" si="17"/>
        <v>0.18197881724760986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12</v>
      </c>
      <c r="D156" s="506">
        <v>12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0.88660000000000005</v>
      </c>
      <c r="D157" s="459">
        <v>0.95809999999999995</v>
      </c>
      <c r="E157" s="460">
        <f t="shared" si="16"/>
        <v>7.1499999999999897E-2</v>
      </c>
      <c r="F157" s="449">
        <f t="shared" si="17"/>
        <v>8.0645161290322454E-2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10.639200000000001</v>
      </c>
      <c r="D158" s="463">
        <f>LN_IE4*LN_IE5</f>
        <v>11.497199999999999</v>
      </c>
      <c r="E158" s="463">
        <f t="shared" si="16"/>
        <v>0.85799999999999876</v>
      </c>
      <c r="F158" s="449">
        <f t="shared" si="17"/>
        <v>8.0645161290322454E-2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3645.7628393112263</v>
      </c>
      <c r="D159" s="465">
        <f>IF(LN_IE6=0,0,LN_IE2/LN_IE6)</f>
        <v>3047.8725254844658</v>
      </c>
      <c r="E159" s="465">
        <f t="shared" si="16"/>
        <v>-597.89031382676058</v>
      </c>
      <c r="F159" s="449">
        <f t="shared" si="17"/>
        <v>-0.16399594273655954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7716.6109703571728</v>
      </c>
      <c r="D160" s="465">
        <f>LN_IB7-LN_IE7</f>
        <v>7886.1643330843008</v>
      </c>
      <c r="E160" s="465">
        <f t="shared" si="16"/>
        <v>169.55336272712793</v>
      </c>
      <c r="F160" s="449">
        <f t="shared" si="17"/>
        <v>2.197251661104278E-2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8221.9861527781759</v>
      </c>
      <c r="D161" s="465">
        <f>LN_IA7-LN_IE7</f>
        <v>8704.4537164421017</v>
      </c>
      <c r="E161" s="465">
        <f t="shared" si="16"/>
        <v>482.46756366392583</v>
      </c>
      <c r="F161" s="449">
        <f t="shared" si="17"/>
        <v>5.868017224778492E-2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87475.35507663757</v>
      </c>
      <c r="D162" s="479">
        <f>LN_IE9*LN_IE6</f>
        <v>100076.84526867812</v>
      </c>
      <c r="E162" s="479">
        <f t="shared" si="16"/>
        <v>12601.490192040554</v>
      </c>
      <c r="F162" s="449">
        <f t="shared" si="17"/>
        <v>0.14405760549357391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40</v>
      </c>
      <c r="D163" s="456">
        <v>46</v>
      </c>
      <c r="E163" s="506">
        <f t="shared" si="16"/>
        <v>6</v>
      </c>
      <c r="F163" s="449">
        <f t="shared" si="17"/>
        <v>0.15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969.7</v>
      </c>
      <c r="D164" s="465">
        <f>IF(LN_IE11=0,0,LN_IE2/LN_IE11)</f>
        <v>761.78260869565213</v>
      </c>
      <c r="E164" s="465">
        <f t="shared" si="16"/>
        <v>-207.91739130434792</v>
      </c>
      <c r="F164" s="449">
        <f t="shared" si="17"/>
        <v>-0.2144141397384221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3.3333333333333335</v>
      </c>
      <c r="D165" s="466">
        <f>IF(LN_IE4=0,0,LN_IE11/LN_IE4)</f>
        <v>3.8333333333333335</v>
      </c>
      <c r="E165" s="466">
        <f t="shared" si="16"/>
        <v>0.5</v>
      </c>
      <c r="F165" s="449">
        <f t="shared" si="17"/>
        <v>0.15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172656</v>
      </c>
      <c r="D168" s="511">
        <v>192553</v>
      </c>
      <c r="E168" s="511">
        <f t="shared" ref="E168:E176" si="18">D168-C168</f>
        <v>19897</v>
      </c>
      <c r="F168" s="449">
        <f t="shared" ref="F168:F176" si="19">IF(C168=0,0,E168/C168)</f>
        <v>0.11524070985080159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52912</v>
      </c>
      <c r="D169" s="511">
        <v>8524</v>
      </c>
      <c r="E169" s="511">
        <f t="shared" si="18"/>
        <v>-44388</v>
      </c>
      <c r="F169" s="449">
        <f t="shared" si="19"/>
        <v>-0.83890232839431511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0.30645908627560003</v>
      </c>
      <c r="D170" s="453">
        <f>IF(LN_IE14=0,0,LN_IE15/LN_IE14)</f>
        <v>4.4268331316572582E-2</v>
      </c>
      <c r="E170" s="454">
        <f t="shared" si="18"/>
        <v>-0.26219075495902744</v>
      </c>
      <c r="F170" s="449">
        <f t="shared" si="19"/>
        <v>-0.85554896787507262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0.53048207208037612</v>
      </c>
      <c r="D171" s="453">
        <f>IF(LN_IE1=0,0,LN_IE14/LN_IE1)</f>
        <v>0.77402951356088223</v>
      </c>
      <c r="E171" s="454">
        <f t="shared" si="18"/>
        <v>0.24354744148050611</v>
      </c>
      <c r="F171" s="449">
        <f t="shared" si="19"/>
        <v>0.45910588556818366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6.3657848649645139</v>
      </c>
      <c r="D172" s="463">
        <f>LN_IE17*LN_IE4</f>
        <v>9.2883541627305863</v>
      </c>
      <c r="E172" s="463">
        <f t="shared" si="18"/>
        <v>2.9225692977660724</v>
      </c>
      <c r="F172" s="449">
        <f t="shared" si="19"/>
        <v>0.45910588556818349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8311.9365675099598</v>
      </c>
      <c r="D173" s="465">
        <f>IF(LN_IE18=0,0,LN_IE15/LN_IE18)</f>
        <v>917.7083313858177</v>
      </c>
      <c r="E173" s="465">
        <f t="shared" si="18"/>
        <v>-7394.2282361241423</v>
      </c>
      <c r="F173" s="449">
        <f t="shared" si="19"/>
        <v>-0.88959151409155435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7218.3267476253241</v>
      </c>
      <c r="D174" s="465">
        <f>LN_IB18-LN_IE19</f>
        <v>13479.308801246172</v>
      </c>
      <c r="E174" s="465">
        <f t="shared" si="18"/>
        <v>6260.9820536208481</v>
      </c>
      <c r="F174" s="449">
        <f t="shared" si="19"/>
        <v>0.86737304537794413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3417.4793055751798</v>
      </c>
      <c r="D175" s="465">
        <f>LN_IA16-LN_IE19</f>
        <v>10118.735802151408</v>
      </c>
      <c r="E175" s="465">
        <f t="shared" si="18"/>
        <v>6701.2564965762285</v>
      </c>
      <c r="F175" s="449">
        <f t="shared" si="19"/>
        <v>1.9608769790190059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21754.938039759916</v>
      </c>
      <c r="D176" s="441">
        <f>LN_IE21*LN_IE18</f>
        <v>93986.401809484058</v>
      </c>
      <c r="E176" s="441">
        <f t="shared" si="18"/>
        <v>72231.463769724141</v>
      </c>
      <c r="F176" s="449">
        <f t="shared" si="19"/>
        <v>3.3202330265299747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498126</v>
      </c>
      <c r="D179" s="448">
        <f>LN_IE1+LN_IE14</f>
        <v>441320</v>
      </c>
      <c r="E179" s="448">
        <f>D179-C179</f>
        <v>-56806</v>
      </c>
      <c r="F179" s="449">
        <f>IF(C179=0,0,E179/C179)</f>
        <v>-0.11403941974520503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91700</v>
      </c>
      <c r="D180" s="448">
        <f>LN_IE15+LN_IE2</f>
        <v>43566</v>
      </c>
      <c r="E180" s="448">
        <f>D180-C180</f>
        <v>-48134</v>
      </c>
      <c r="F180" s="449">
        <f>IF(C180=0,0,E180/C180)</f>
        <v>-0.52490730643402395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406426</v>
      </c>
      <c r="D181" s="448">
        <f>LN_IE23-LN_IE24</f>
        <v>397754</v>
      </c>
      <c r="E181" s="448">
        <f>D181-C181</f>
        <v>-8672</v>
      </c>
      <c r="F181" s="449">
        <f>IF(C181=0,0,E181/C181)</f>
        <v>-2.1337217599267762E-2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109230.29311639749</v>
      </c>
      <c r="D183" s="448">
        <f>LN_IE10+LN_IE22</f>
        <v>194063.24707816218</v>
      </c>
      <c r="E183" s="441">
        <f>D183-C183</f>
        <v>84832.953961764695</v>
      </c>
      <c r="F183" s="449">
        <f>IF(C183=0,0,E183/C183)</f>
        <v>0.77664310459521879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71977722</v>
      </c>
      <c r="D188" s="448">
        <f>LN_ID1+LN_IE1</f>
        <v>76482472</v>
      </c>
      <c r="E188" s="448">
        <f t="shared" ref="E188:E200" si="20">D188-C188</f>
        <v>4504750</v>
      </c>
      <c r="F188" s="449">
        <f t="shared" ref="F188:F200" si="21">IF(C188=0,0,E188/C188)</f>
        <v>6.2585337168631155E-2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26879673</v>
      </c>
      <c r="D189" s="448">
        <f>LN_1D2+LN_IE2</f>
        <v>30435432</v>
      </c>
      <c r="E189" s="448">
        <f t="shared" si="20"/>
        <v>3555759</v>
      </c>
      <c r="F189" s="449">
        <f t="shared" si="21"/>
        <v>0.13228431015511238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0.37344434157002077</v>
      </c>
      <c r="D190" s="453">
        <f>IF(LN_IF1=0,0,LN_IF2/LN_IF1)</f>
        <v>0.39793996198240034</v>
      </c>
      <c r="E190" s="454">
        <f t="shared" si="20"/>
        <v>2.4495620412379571E-2</v>
      </c>
      <c r="F190" s="449">
        <f t="shared" si="21"/>
        <v>6.5593765082625155E-2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2312</v>
      </c>
      <c r="D191" s="456">
        <f>LN_ID4+LN_IE4</f>
        <v>2406</v>
      </c>
      <c r="E191" s="456">
        <f t="shared" si="20"/>
        <v>94</v>
      </c>
      <c r="F191" s="449">
        <f t="shared" si="21"/>
        <v>4.065743944636678E-2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1.432054152249135</v>
      </c>
      <c r="D192" s="459">
        <f>IF((LN_ID4+LN_IE4)=0,0,(LN_ID6+LN_IE6)/(LN_ID4+LN_IE4))</f>
        <v>1.4103331670822943</v>
      </c>
      <c r="E192" s="460">
        <f t="shared" si="20"/>
        <v>-2.1720985166840734E-2</v>
      </c>
      <c r="F192" s="449">
        <f t="shared" si="21"/>
        <v>-1.5167712151615567E-2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3310.9092000000001</v>
      </c>
      <c r="D193" s="463">
        <f>LN_IF4*LN_IF5</f>
        <v>3393.2615999999998</v>
      </c>
      <c r="E193" s="463">
        <f t="shared" si="20"/>
        <v>82.352399999999761</v>
      </c>
      <c r="F193" s="449">
        <f t="shared" si="21"/>
        <v>2.4873046956406946E-2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8118.5171130636863</v>
      </c>
      <c r="D194" s="465">
        <f>IF(LN_IF6=0,0,LN_IF2/LN_IF6)</f>
        <v>8969.3738908901105</v>
      </c>
      <c r="E194" s="465">
        <f t="shared" si="20"/>
        <v>850.85677782642415</v>
      </c>
      <c r="F194" s="449">
        <f t="shared" si="21"/>
        <v>0.10480445701805464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3243.8566966047129</v>
      </c>
      <c r="D195" s="465">
        <f>LN_IB7-LN_IF7</f>
        <v>1964.6629676786561</v>
      </c>
      <c r="E195" s="465">
        <f t="shared" si="20"/>
        <v>-1279.1937289260568</v>
      </c>
      <c r="F195" s="449">
        <f t="shared" si="21"/>
        <v>-0.39434347709162559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3749.2318790257159</v>
      </c>
      <c r="D196" s="465">
        <f>LN_IA7-LN_IF7</f>
        <v>2782.9523510364561</v>
      </c>
      <c r="E196" s="465">
        <f t="shared" si="20"/>
        <v>-966.2795279892598</v>
      </c>
      <c r="F196" s="449">
        <f t="shared" si="21"/>
        <v>-0.25772733166889628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12413366.321199529</v>
      </c>
      <c r="D197" s="479">
        <f>LN_IF9*LN_IF6</f>
        <v>9443285.347401727</v>
      </c>
      <c r="E197" s="479">
        <f t="shared" si="20"/>
        <v>-2970080.9737978019</v>
      </c>
      <c r="F197" s="449">
        <f t="shared" si="21"/>
        <v>-0.23926474873503908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9634</v>
      </c>
      <c r="D198" s="456">
        <f>LN_ID11+LN_IE11</f>
        <v>9419</v>
      </c>
      <c r="E198" s="456">
        <f t="shared" si="20"/>
        <v>-215</v>
      </c>
      <c r="F198" s="449">
        <f t="shared" si="21"/>
        <v>-2.2316794685488892E-2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2790.0843886236248</v>
      </c>
      <c r="D199" s="519">
        <f>IF(LN_IF11=0,0,LN_IF2/LN_IF11)</f>
        <v>3231.2806030364159</v>
      </c>
      <c r="E199" s="519">
        <f t="shared" si="20"/>
        <v>441.19621441279105</v>
      </c>
      <c r="F199" s="449">
        <f t="shared" si="21"/>
        <v>0.15813006094429902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4.1669550173010377</v>
      </c>
      <c r="D200" s="466">
        <f>IF(LN_IF4=0,0,LN_IF11/LN_IF4)</f>
        <v>3.9147963424771404</v>
      </c>
      <c r="E200" s="466">
        <f t="shared" si="20"/>
        <v>-0.25215867482389731</v>
      </c>
      <c r="F200" s="449">
        <f t="shared" si="21"/>
        <v>-6.051389414499176E-2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104650864</v>
      </c>
      <c r="D203" s="448">
        <f>LN_ID14+LN_IE14</f>
        <v>121140396</v>
      </c>
      <c r="E203" s="448">
        <f t="shared" ref="E203:E211" si="22">D203-C203</f>
        <v>16489532</v>
      </c>
      <c r="F203" s="449">
        <f t="shared" ref="F203:F211" si="23">IF(C203=0,0,E203/C203)</f>
        <v>0.15756708898265762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36798790</v>
      </c>
      <c r="D204" s="448">
        <f>LN_ID15+LN_IE15</f>
        <v>38648573</v>
      </c>
      <c r="E204" s="448">
        <f t="shared" si="22"/>
        <v>1849783</v>
      </c>
      <c r="F204" s="449">
        <f t="shared" si="23"/>
        <v>5.0267495208402235E-2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0.35163388617603769</v>
      </c>
      <c r="D205" s="453">
        <f>IF(LN_IF14=0,0,LN_IF15/LN_IF14)</f>
        <v>0.3190395134584173</v>
      </c>
      <c r="E205" s="454">
        <f t="shared" si="22"/>
        <v>-3.259437271762039E-2</v>
      </c>
      <c r="F205" s="449">
        <f t="shared" si="23"/>
        <v>-9.2694060495929403E-2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1.4539340936630365</v>
      </c>
      <c r="D206" s="453">
        <f>IF(LN_IF1=0,0,LN_IF14/LN_IF1)</f>
        <v>1.5838974974553646</v>
      </c>
      <c r="E206" s="454">
        <f t="shared" si="22"/>
        <v>0.12996340379232807</v>
      </c>
      <c r="F206" s="449">
        <f t="shared" si="23"/>
        <v>8.9387410583996088E-2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3360.061889210715</v>
      </c>
      <c r="D207" s="463">
        <f>LN_ID18+LN_IE18</f>
        <v>3807.4657632496956</v>
      </c>
      <c r="E207" s="463">
        <f t="shared" si="22"/>
        <v>447.40387403898058</v>
      </c>
      <c r="F207" s="449">
        <f t="shared" si="23"/>
        <v>0.13315346228461186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10951.819107309391</v>
      </c>
      <c r="D208" s="465">
        <f>IF(LN_IF18=0,0,LN_IF15/LN_IF18)</f>
        <v>10150.734216192453</v>
      </c>
      <c r="E208" s="465">
        <f t="shared" si="22"/>
        <v>-801.0848911169378</v>
      </c>
      <c r="F208" s="449">
        <f t="shared" si="23"/>
        <v>-7.3146285860609492E-2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4578.4442078258926</v>
      </c>
      <c r="D209" s="465">
        <f>LN_IB18-LN_IF19</f>
        <v>4246.2829164395371</v>
      </c>
      <c r="E209" s="465">
        <f t="shared" si="22"/>
        <v>-332.16129138635551</v>
      </c>
      <c r="F209" s="449">
        <f t="shared" si="23"/>
        <v>-7.2548943769718821E-2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777.59676577574828</v>
      </c>
      <c r="D210" s="465">
        <f>LN_IA16-LN_IF19</f>
        <v>885.7099173447732</v>
      </c>
      <c r="E210" s="465">
        <f t="shared" si="22"/>
        <v>108.11315156902492</v>
      </c>
      <c r="F210" s="449">
        <f t="shared" si="23"/>
        <v>0.13903498101765993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2612773.2578566042</v>
      </c>
      <c r="D211" s="441">
        <f>LN_IF21*LN_IF18</f>
        <v>3372310.1864609416</v>
      </c>
      <c r="E211" s="441">
        <f t="shared" si="22"/>
        <v>759536.92860433739</v>
      </c>
      <c r="F211" s="449">
        <f t="shared" si="23"/>
        <v>0.2907014324034477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176628586</v>
      </c>
      <c r="D214" s="448">
        <f>LN_IF1+LN_IF14</f>
        <v>197622868</v>
      </c>
      <c r="E214" s="448">
        <f>D214-C214</f>
        <v>20994282</v>
      </c>
      <c r="F214" s="449">
        <f>IF(C214=0,0,E214/C214)</f>
        <v>0.11886117912986066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63678463</v>
      </c>
      <c r="D215" s="448">
        <f>LN_IF2+LN_IF15</f>
        <v>69084005</v>
      </c>
      <c r="E215" s="448">
        <f>D215-C215</f>
        <v>5405542</v>
      </c>
      <c r="F215" s="449">
        <f>IF(C215=0,0,E215/C215)</f>
        <v>8.4888072753891694E-2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112950123</v>
      </c>
      <c r="D216" s="448">
        <f>LN_IF23-LN_IF24</f>
        <v>128538863</v>
      </c>
      <c r="E216" s="448">
        <f>D216-C216</f>
        <v>15588740</v>
      </c>
      <c r="F216" s="449">
        <f>IF(C216=0,0,E216/C216)</f>
        <v>0.13801436940444944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894989</v>
      </c>
      <c r="D221" s="448">
        <v>910445</v>
      </c>
      <c r="E221" s="448">
        <f t="shared" ref="E221:E230" si="24">D221-C221</f>
        <v>15456</v>
      </c>
      <c r="F221" s="449">
        <f t="shared" ref="F221:F230" si="25">IF(C221=0,0,E221/C221)</f>
        <v>1.7269485993682603E-2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370931</v>
      </c>
      <c r="D222" s="448">
        <v>402791</v>
      </c>
      <c r="E222" s="448">
        <f t="shared" si="24"/>
        <v>31860</v>
      </c>
      <c r="F222" s="449">
        <f t="shared" si="25"/>
        <v>8.5891985301848592E-2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0.41445313853019422</v>
      </c>
      <c r="D223" s="453">
        <f>IF(LN_IG1=0,0,LN_IG2/LN_IG1)</f>
        <v>0.44241112862391468</v>
      </c>
      <c r="E223" s="454">
        <f t="shared" si="24"/>
        <v>2.7957990093720464E-2</v>
      </c>
      <c r="F223" s="449">
        <f t="shared" si="25"/>
        <v>6.7457542227499959E-2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43</v>
      </c>
      <c r="D224" s="456">
        <v>39</v>
      </c>
      <c r="E224" s="456">
        <f t="shared" si="24"/>
        <v>-4</v>
      </c>
      <c r="F224" s="449">
        <f t="shared" si="25"/>
        <v>-9.3023255813953487E-2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1.1761999999999999</v>
      </c>
      <c r="D225" s="459">
        <v>1.2506999999999999</v>
      </c>
      <c r="E225" s="460">
        <f t="shared" si="24"/>
        <v>7.4500000000000011E-2</v>
      </c>
      <c r="F225" s="449">
        <f t="shared" si="25"/>
        <v>6.3339568100663171E-2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50.576599999999999</v>
      </c>
      <c r="D226" s="463">
        <f>LN_IG3*LN_IG4</f>
        <v>48.777299999999997</v>
      </c>
      <c r="E226" s="463">
        <f t="shared" si="24"/>
        <v>-1.7993000000000023</v>
      </c>
      <c r="F226" s="449">
        <f t="shared" si="25"/>
        <v>-3.5575740559863699E-2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7334.0438068197545</v>
      </c>
      <c r="D227" s="465">
        <f>IF(LN_IG5=0,0,LN_IG2/LN_IG5)</f>
        <v>8257.7551442986805</v>
      </c>
      <c r="E227" s="465">
        <f t="shared" si="24"/>
        <v>923.711337478926</v>
      </c>
      <c r="F227" s="449">
        <f t="shared" si="25"/>
        <v>0.12594843469846589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154</v>
      </c>
      <c r="D228" s="456">
        <v>129</v>
      </c>
      <c r="E228" s="456">
        <f t="shared" si="24"/>
        <v>-25</v>
      </c>
      <c r="F228" s="449">
        <f t="shared" si="25"/>
        <v>-0.16233766233766234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2408.6428571428573</v>
      </c>
      <c r="D229" s="465">
        <f>IF(LN_IG6=0,0,LN_IG2/LN_IG6)</f>
        <v>3122.4108527131784</v>
      </c>
      <c r="E229" s="465">
        <f t="shared" si="24"/>
        <v>713.76799557032109</v>
      </c>
      <c r="F229" s="449">
        <f t="shared" si="25"/>
        <v>0.2963361684998812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3.5813953488372094</v>
      </c>
      <c r="D230" s="466">
        <f>IF(LN_IG3=0,0,LN_IG6/LN_IG3)</f>
        <v>3.3076923076923075</v>
      </c>
      <c r="E230" s="466">
        <f t="shared" si="24"/>
        <v>-0.27370304114490196</v>
      </c>
      <c r="F230" s="449">
        <f t="shared" si="25"/>
        <v>-7.6423576423576514E-2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3070634</v>
      </c>
      <c r="D233" s="448">
        <v>3067819</v>
      </c>
      <c r="E233" s="448">
        <f>D233-C233</f>
        <v>-2815</v>
      </c>
      <c r="F233" s="449">
        <f>IF(C233=0,0,E233/C233)</f>
        <v>-9.1674878868663607E-4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987633</v>
      </c>
      <c r="D234" s="448">
        <v>880967</v>
      </c>
      <c r="E234" s="448">
        <f>D234-C234</f>
        <v>-106666</v>
      </c>
      <c r="F234" s="449">
        <f>IF(C234=0,0,E234/C234)</f>
        <v>-0.10800165648575939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3965623</v>
      </c>
      <c r="D237" s="448">
        <f>LN_IG1+LN_IG9</f>
        <v>3978264</v>
      </c>
      <c r="E237" s="448">
        <f>D237-C237</f>
        <v>12641</v>
      </c>
      <c r="F237" s="449">
        <f>IF(C237=0,0,E237/C237)</f>
        <v>3.1876454216651457E-3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1358564</v>
      </c>
      <c r="D238" s="448">
        <f>LN_IG2+LN_IG10</f>
        <v>1283758</v>
      </c>
      <c r="E238" s="448">
        <f>D238-C238</f>
        <v>-74806</v>
      </c>
      <c r="F238" s="449">
        <f>IF(C238=0,0,E238/C238)</f>
        <v>-5.5062551340974736E-2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2607059</v>
      </c>
      <c r="D239" s="448">
        <f>LN_IG13-LN_IG14</f>
        <v>2694506</v>
      </c>
      <c r="E239" s="448">
        <f>D239-C239</f>
        <v>87447</v>
      </c>
      <c r="F239" s="449">
        <f>IF(C239=0,0,E239/C239)</f>
        <v>3.3542393938917378E-2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22955416</v>
      </c>
      <c r="D243" s="448">
        <v>26710445</v>
      </c>
      <c r="E243" s="441">
        <f>D243-C243</f>
        <v>3755029</v>
      </c>
      <c r="F243" s="503">
        <f>IF(C243=0,0,E243/C243)</f>
        <v>0.1635792180808224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340779258</v>
      </c>
      <c r="D244" s="448">
        <v>373828923</v>
      </c>
      <c r="E244" s="441">
        <f>D244-C244</f>
        <v>33049665</v>
      </c>
      <c r="F244" s="503">
        <f>IF(C244=0,0,E244/C244)</f>
        <v>9.6982619171029474E-2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379861</v>
      </c>
      <c r="D248" s="441">
        <v>368086</v>
      </c>
      <c r="E248" s="441">
        <f>D248-C248</f>
        <v>-11775</v>
      </c>
      <c r="F248" s="449">
        <f>IF(C248=0,0,E248/C248)</f>
        <v>-3.0998180913544691E-2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10621825</v>
      </c>
      <c r="D249" s="441">
        <v>5865466</v>
      </c>
      <c r="E249" s="441">
        <f>D249-C249</f>
        <v>-4756359</v>
      </c>
      <c r="F249" s="449">
        <f>IF(C249=0,0,E249/C249)</f>
        <v>-0.44779112817241856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11001686</v>
      </c>
      <c r="D250" s="441">
        <f>LN_IH4+LN_IH5</f>
        <v>6233552</v>
      </c>
      <c r="E250" s="441">
        <f>D250-C250</f>
        <v>-4768134</v>
      </c>
      <c r="F250" s="449">
        <f>IF(C250=0,0,E250/C250)</f>
        <v>-0.43340029882692527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4818336.45302008</v>
      </c>
      <c r="D251" s="441">
        <f>LN_IH6*LN_III10</f>
        <v>2538382.997567595</v>
      </c>
      <c r="E251" s="441">
        <f>D251-C251</f>
        <v>-2279953.455452485</v>
      </c>
      <c r="F251" s="449">
        <f>IF(C251=0,0,E251/C251)</f>
        <v>-0.47318270064420997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176628586</v>
      </c>
      <c r="D254" s="441">
        <f>LN_IF23</f>
        <v>197622868</v>
      </c>
      <c r="E254" s="441">
        <f>D254-C254</f>
        <v>20994282</v>
      </c>
      <c r="F254" s="449">
        <f>IF(C254=0,0,E254/C254)</f>
        <v>0.11886117912986066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63678463</v>
      </c>
      <c r="D255" s="441">
        <f>LN_IF24</f>
        <v>69084005</v>
      </c>
      <c r="E255" s="441">
        <f>D255-C255</f>
        <v>5405542</v>
      </c>
      <c r="F255" s="449">
        <f>IF(C255=0,0,E255/C255)</f>
        <v>8.4888072753891694E-2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77356866.444760576</v>
      </c>
      <c r="D256" s="441">
        <f>LN_IH8*LN_III10</f>
        <v>80474587.853240833</v>
      </c>
      <c r="E256" s="441">
        <f>D256-C256</f>
        <v>3117721.4084802568</v>
      </c>
      <c r="F256" s="449">
        <f>IF(C256=0,0,E256/C256)</f>
        <v>4.0303098506537578E-2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13678403.444760576</v>
      </c>
      <c r="D257" s="441">
        <f>LN_IH10-LN_IH9</f>
        <v>11390582.853240833</v>
      </c>
      <c r="E257" s="441">
        <f>D257-C257</f>
        <v>-2287820.5915197432</v>
      </c>
      <c r="F257" s="449">
        <f>IF(C257=0,0,E257/C257)</f>
        <v>-0.16725786753980254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295059747</v>
      </c>
      <c r="D261" s="448">
        <f>LN_IA1+LN_IB1+LN_IF1+LN_IG1</f>
        <v>318234228</v>
      </c>
      <c r="E261" s="448">
        <f t="shared" ref="E261:E274" si="26">D261-C261</f>
        <v>23174481</v>
      </c>
      <c r="F261" s="503">
        <f t="shared" ref="F261:F274" si="27">IF(C261=0,0,E261/C261)</f>
        <v>7.8541655497318646E-2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143833349</v>
      </c>
      <c r="D262" s="448">
        <f>+LN_IA2+LN_IB2+LN_IF2+LN_IG2</f>
        <v>150266953</v>
      </c>
      <c r="E262" s="448">
        <f t="shared" si="26"/>
        <v>6433604</v>
      </c>
      <c r="F262" s="503">
        <f t="shared" si="27"/>
        <v>4.472957102597952E-2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0.48747194580899578</v>
      </c>
      <c r="D263" s="453">
        <f>IF(LN_IIA1=0,0,LN_IIA2/LN_IIA1)</f>
        <v>0.47218978908830639</v>
      </c>
      <c r="E263" s="454">
        <f t="shared" si="26"/>
        <v>-1.5282156720689388E-2</v>
      </c>
      <c r="F263" s="458">
        <f t="shared" si="27"/>
        <v>-3.1349817875831847E-2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8846</v>
      </c>
      <c r="D264" s="456">
        <f>LN_IA4+LN_IB4+LN_IF4+LN_IG3</f>
        <v>9079</v>
      </c>
      <c r="E264" s="456">
        <f t="shared" si="26"/>
        <v>233</v>
      </c>
      <c r="F264" s="503">
        <f t="shared" si="27"/>
        <v>2.6339588514582863E-2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1.5071486095410356</v>
      </c>
      <c r="D265" s="525">
        <f>IF(LN_IIA4=0,0,LN_IIA6/LN_IIA4)</f>
        <v>1.5262392113668906</v>
      </c>
      <c r="E265" s="525">
        <f t="shared" si="26"/>
        <v>1.909060182585498E-2</v>
      </c>
      <c r="F265" s="503">
        <f t="shared" si="27"/>
        <v>1.2666701680910249E-2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13332.2366</v>
      </c>
      <c r="D266" s="463">
        <f>LN_IA6+LN_IB6+LN_IF6+LN_IG5</f>
        <v>13856.7258</v>
      </c>
      <c r="E266" s="463">
        <f t="shared" si="26"/>
        <v>524.48919999999998</v>
      </c>
      <c r="F266" s="503">
        <f t="shared" si="27"/>
        <v>3.9339925905605366E-2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469117294</v>
      </c>
      <c r="D267" s="448">
        <f>LN_IA11+LN_IB13+LN_IF14+LN_IG9</f>
        <v>552780982</v>
      </c>
      <c r="E267" s="448">
        <f t="shared" si="26"/>
        <v>83663688</v>
      </c>
      <c r="F267" s="503">
        <f t="shared" si="27"/>
        <v>0.17834279202676334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1.5899061080669876</v>
      </c>
      <c r="D268" s="453">
        <f>IF(LN_IIA1=0,0,LN_IIA7/LN_IIA1)</f>
        <v>1.7370255408227175</v>
      </c>
      <c r="E268" s="454">
        <f t="shared" si="26"/>
        <v>0.14711943275572992</v>
      </c>
      <c r="F268" s="458">
        <f t="shared" si="27"/>
        <v>9.2533409368807412E-2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199372255</v>
      </c>
      <c r="D269" s="448">
        <f>LN_IA12+LN_IB14+LN_IF15+LN_IG10</f>
        <v>207479130</v>
      </c>
      <c r="E269" s="448">
        <f t="shared" si="26"/>
        <v>8106875</v>
      </c>
      <c r="F269" s="503">
        <f t="shared" si="27"/>
        <v>4.0662001841730688E-2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0.42499446844097799</v>
      </c>
      <c r="D270" s="453">
        <f>IF(LN_IIA7=0,0,LN_IIA9/LN_IIA7)</f>
        <v>0.3753369539764666</v>
      </c>
      <c r="E270" s="454">
        <f t="shared" si="26"/>
        <v>-4.9657514464511388E-2</v>
      </c>
      <c r="F270" s="458">
        <f t="shared" si="27"/>
        <v>-0.11684273126347215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764177041</v>
      </c>
      <c r="D271" s="441">
        <f>LN_IIA1+LN_IIA7</f>
        <v>871015210</v>
      </c>
      <c r="E271" s="441">
        <f t="shared" si="26"/>
        <v>106838169</v>
      </c>
      <c r="F271" s="503">
        <f t="shared" si="27"/>
        <v>0.13980813773231379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343205604</v>
      </c>
      <c r="D272" s="441">
        <f>LN_IIA2+LN_IIA9</f>
        <v>357746083</v>
      </c>
      <c r="E272" s="441">
        <f t="shared" si="26"/>
        <v>14540479</v>
      </c>
      <c r="F272" s="503">
        <f t="shared" si="27"/>
        <v>4.2366671262162724E-2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0.44911792109179577</v>
      </c>
      <c r="D273" s="453">
        <f>IF(LN_IIA11=0,0,LN_IIA12/LN_IIA11)</f>
        <v>0.4107231181416453</v>
      </c>
      <c r="E273" s="454">
        <f t="shared" si="26"/>
        <v>-3.8394802950150464E-2</v>
      </c>
      <c r="F273" s="458">
        <f t="shared" si="27"/>
        <v>-8.5489358466955725E-2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38384</v>
      </c>
      <c r="D274" s="508">
        <f>LN_IA8+LN_IB10+LN_IF11+LN_IG6</f>
        <v>37746</v>
      </c>
      <c r="E274" s="528">
        <f t="shared" si="26"/>
        <v>-638</v>
      </c>
      <c r="F274" s="458">
        <f t="shared" si="27"/>
        <v>-1.6621508962067526E-2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224508357</v>
      </c>
      <c r="D277" s="448">
        <f>LN_IA1+LN_IF1+LN_IG1</f>
        <v>239952585</v>
      </c>
      <c r="E277" s="448">
        <f t="shared" ref="E277:E291" si="28">D277-C277</f>
        <v>15444228</v>
      </c>
      <c r="F277" s="503">
        <f t="shared" ref="F277:F291" si="29">IF(C277=0,0,E277/C277)</f>
        <v>6.8791327888075002E-2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104541465</v>
      </c>
      <c r="D278" s="448">
        <f>LN_IA2+LN_IF2+LN_IG2</f>
        <v>110607430</v>
      </c>
      <c r="E278" s="448">
        <f t="shared" si="28"/>
        <v>6065965</v>
      </c>
      <c r="F278" s="503">
        <f t="shared" si="29"/>
        <v>5.8024488177968424E-2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0.46564620754852348</v>
      </c>
      <c r="D279" s="453">
        <f>IF(D277=0,0,LN_IIB2/D277)</f>
        <v>0.46095535915981067</v>
      </c>
      <c r="E279" s="454">
        <f t="shared" si="28"/>
        <v>-4.6908483887128094E-3</v>
      </c>
      <c r="F279" s="458">
        <f t="shared" si="29"/>
        <v>-1.0073846436779992E-2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6351</v>
      </c>
      <c r="D280" s="456">
        <f>LN_IA4+LN_IF4+LN_IG3</f>
        <v>6462</v>
      </c>
      <c r="E280" s="456">
        <f t="shared" si="28"/>
        <v>111</v>
      </c>
      <c r="F280" s="503">
        <f t="shared" si="29"/>
        <v>1.7477562588568731E-2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1.554742024877972</v>
      </c>
      <c r="D281" s="525">
        <f>IF(LN_IIB4=0,0,LN_IIB6/LN_IIB4)</f>
        <v>1.583033704735376</v>
      </c>
      <c r="E281" s="525">
        <f t="shared" si="28"/>
        <v>2.8291679857403995E-2</v>
      </c>
      <c r="F281" s="503">
        <f t="shared" si="29"/>
        <v>1.8197025232931839E-2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9874.1666000000005</v>
      </c>
      <c r="D282" s="463">
        <f>LN_IA6+LN_IF6+LN_IG5</f>
        <v>10229.5638</v>
      </c>
      <c r="E282" s="463">
        <f t="shared" si="28"/>
        <v>355.39719999999943</v>
      </c>
      <c r="F282" s="503">
        <f t="shared" si="29"/>
        <v>3.599262746893489E-2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261392443</v>
      </c>
      <c r="D283" s="448">
        <f>LN_IA11+LN_IF14+LN_IG9</f>
        <v>307939850</v>
      </c>
      <c r="E283" s="448">
        <f t="shared" si="28"/>
        <v>46547407</v>
      </c>
      <c r="F283" s="503">
        <f t="shared" si="29"/>
        <v>0.17807479996657746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1.1642882540893567</v>
      </c>
      <c r="D284" s="453">
        <f>IF(D277=0,0,LN_IIB7/D277)</f>
        <v>1.2833362474507204</v>
      </c>
      <c r="E284" s="454">
        <f t="shared" si="28"/>
        <v>0.11904799336136374</v>
      </c>
      <c r="F284" s="458">
        <f t="shared" si="29"/>
        <v>0.10224958719907094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85286282</v>
      </c>
      <c r="D285" s="448">
        <f>LN_IA12+LN_IF15+LN_IG10</f>
        <v>89636971</v>
      </c>
      <c r="E285" s="448">
        <f t="shared" si="28"/>
        <v>4350689</v>
      </c>
      <c r="F285" s="503">
        <f t="shared" si="29"/>
        <v>5.1012764280192212E-2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0.32627676998297922</v>
      </c>
      <c r="D286" s="453">
        <f>IF(LN_IIB7=0,0,LN_IIB9/LN_IIB7)</f>
        <v>0.29108597344578818</v>
      </c>
      <c r="E286" s="454">
        <f t="shared" si="28"/>
        <v>-3.5190796537191038E-2</v>
      </c>
      <c r="F286" s="458">
        <f t="shared" si="29"/>
        <v>-0.10785566051492672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485900800</v>
      </c>
      <c r="D287" s="441">
        <f>D277+LN_IIB7</f>
        <v>547892435</v>
      </c>
      <c r="E287" s="441">
        <f t="shared" si="28"/>
        <v>61991635</v>
      </c>
      <c r="F287" s="503">
        <f t="shared" si="29"/>
        <v>0.12758084571994943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189827747</v>
      </c>
      <c r="D288" s="441">
        <f>LN_IIB2+LN_IIB9</f>
        <v>200244401</v>
      </c>
      <c r="E288" s="441">
        <f t="shared" si="28"/>
        <v>10416654</v>
      </c>
      <c r="F288" s="503">
        <f t="shared" si="29"/>
        <v>5.4874243437130397E-2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0.39067181408221596</v>
      </c>
      <c r="D289" s="453">
        <f>IF(LN_IIB11=0,0,LN_IIB12/LN_IIB11)</f>
        <v>0.36548122990601251</v>
      </c>
      <c r="E289" s="454">
        <f t="shared" si="28"/>
        <v>-2.5190584176203457E-2</v>
      </c>
      <c r="F289" s="458">
        <f t="shared" si="29"/>
        <v>-6.4480167926581358E-2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29018</v>
      </c>
      <c r="D290" s="508">
        <f>LN_IA8+LN_IF11+LN_IG6</f>
        <v>28160</v>
      </c>
      <c r="E290" s="528">
        <f t="shared" si="28"/>
        <v>-858</v>
      </c>
      <c r="F290" s="458">
        <f t="shared" si="29"/>
        <v>-2.9567854435178165E-2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296073053</v>
      </c>
      <c r="D291" s="516">
        <f>LN_IIB11-LN_IIB12</f>
        <v>347648034</v>
      </c>
      <c r="E291" s="441">
        <f t="shared" si="28"/>
        <v>51574981</v>
      </c>
      <c r="F291" s="503">
        <f t="shared" si="29"/>
        <v>0.17419680878556684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4.8123123123123124</v>
      </c>
      <c r="D294" s="466">
        <f>IF(LN_IA4=0,0,LN_IA8/LN_IA4)</f>
        <v>4.6333084391336818</v>
      </c>
      <c r="E294" s="466">
        <f t="shared" ref="E294:E300" si="30">D294-C294</f>
        <v>-0.17900387317863053</v>
      </c>
      <c r="F294" s="503">
        <f t="shared" ref="F294:F300" si="31">IF(C294=0,0,E294/C294)</f>
        <v>-3.7197060697961914E-2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3.7539078156312624</v>
      </c>
      <c r="D295" s="466">
        <f>IF(LN_IB4=0,0,(LN_IB10)/(LN_IB4))</f>
        <v>3.6629728696981276</v>
      </c>
      <c r="E295" s="466">
        <f t="shared" si="30"/>
        <v>-9.0934945933134781E-2</v>
      </c>
      <c r="F295" s="503">
        <f t="shared" si="31"/>
        <v>-2.4224075390046049E-2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4.4285714285714288</v>
      </c>
      <c r="D296" s="466">
        <f>IF(LN_IC4=0,0,LN_IC11/LN_IC4)</f>
        <v>2.7727272727272729</v>
      </c>
      <c r="E296" s="466">
        <f t="shared" si="30"/>
        <v>-1.6558441558441559</v>
      </c>
      <c r="F296" s="503">
        <f t="shared" si="31"/>
        <v>-0.37390029325513197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4.1713043478260872</v>
      </c>
      <c r="D297" s="466">
        <f>IF(LN_ID4=0,0,LN_ID11/LN_ID4)</f>
        <v>3.9152046783625729</v>
      </c>
      <c r="E297" s="466">
        <f t="shared" si="30"/>
        <v>-0.25609966946351426</v>
      </c>
      <c r="F297" s="503">
        <f t="shared" si="31"/>
        <v>-6.139558471608117E-2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3.3333333333333335</v>
      </c>
      <c r="D298" s="466">
        <f>IF(LN_IE4=0,0,LN_IE11/LN_IE4)</f>
        <v>3.8333333333333335</v>
      </c>
      <c r="E298" s="466">
        <f t="shared" si="30"/>
        <v>0.5</v>
      </c>
      <c r="F298" s="503">
        <f t="shared" si="31"/>
        <v>0.15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3.5813953488372094</v>
      </c>
      <c r="D299" s="466">
        <f>IF(LN_IG3=0,0,LN_IG6/LN_IG3)</f>
        <v>3.3076923076923075</v>
      </c>
      <c r="E299" s="466">
        <f t="shared" si="30"/>
        <v>-0.27370304114490196</v>
      </c>
      <c r="F299" s="503">
        <f t="shared" si="31"/>
        <v>-7.6423576423576514E-2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4.3391363328057881</v>
      </c>
      <c r="D300" s="466">
        <f>IF(LN_IIA4=0,0,LN_IIA14/LN_IIA4)</f>
        <v>4.1575063332966185</v>
      </c>
      <c r="E300" s="466">
        <f t="shared" si="30"/>
        <v>-0.18162999950916969</v>
      </c>
      <c r="F300" s="503">
        <f t="shared" si="31"/>
        <v>-4.1858560224523632E-2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764177041</v>
      </c>
      <c r="D304" s="441">
        <f>LN_IIA11</f>
        <v>871015210</v>
      </c>
      <c r="E304" s="441">
        <f t="shared" ref="E304:E316" si="32">D304-C304</f>
        <v>106838169</v>
      </c>
      <c r="F304" s="449">
        <f>IF(C304=0,0,E304/C304)</f>
        <v>0.13980813773231379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296073053</v>
      </c>
      <c r="D305" s="441">
        <f>LN_IIB14</f>
        <v>347648034</v>
      </c>
      <c r="E305" s="441">
        <f t="shared" si="32"/>
        <v>51574981</v>
      </c>
      <c r="F305" s="449">
        <f>IF(C305=0,0,E305/C305)</f>
        <v>0.17419680878556684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11001686</v>
      </c>
      <c r="D306" s="441">
        <f>LN_IH6</f>
        <v>6233552</v>
      </c>
      <c r="E306" s="441">
        <f t="shared" si="32"/>
        <v>-4768134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122420682</v>
      </c>
      <c r="D307" s="441">
        <f>LN_IB32-LN_IB33</f>
        <v>162444965</v>
      </c>
      <c r="E307" s="441">
        <f t="shared" si="32"/>
        <v>40024283</v>
      </c>
      <c r="F307" s="449">
        <f t="shared" ref="F307:F316" si="33">IF(C307=0,0,E307/C307)</f>
        <v>0.32694053280964402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429495421</v>
      </c>
      <c r="D309" s="441">
        <f>LN_III2+LN_III3+LN_III4+LN_III5</f>
        <v>516326551</v>
      </c>
      <c r="E309" s="441">
        <f t="shared" si="32"/>
        <v>86831130</v>
      </c>
      <c r="F309" s="449">
        <f t="shared" si="33"/>
        <v>0.20217009484718115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334681620</v>
      </c>
      <c r="D310" s="441">
        <f>LN_III1-LN_III6</f>
        <v>354688659</v>
      </c>
      <c r="E310" s="441">
        <f t="shared" si="32"/>
        <v>20007039</v>
      </c>
      <c r="F310" s="449">
        <f t="shared" si="33"/>
        <v>5.9779318027682549E-2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334681620</v>
      </c>
      <c r="D312" s="441">
        <f>LN_III7+LN_III8</f>
        <v>354688659</v>
      </c>
      <c r="E312" s="441">
        <f t="shared" si="32"/>
        <v>20007039</v>
      </c>
      <c r="F312" s="449">
        <f t="shared" si="33"/>
        <v>5.9779318027682549E-2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0.43796345878441539</v>
      </c>
      <c r="D313" s="532">
        <f>IF(LN_III1=0,0,LN_III9/LN_III1)</f>
        <v>0.40721293374429135</v>
      </c>
      <c r="E313" s="532">
        <f t="shared" si="32"/>
        <v>-3.0750525040124044E-2</v>
      </c>
      <c r="F313" s="449">
        <f t="shared" si="33"/>
        <v>-7.0212535825416394E-2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4818336.45302008</v>
      </c>
      <c r="D314" s="441">
        <f>D313*LN_III5</f>
        <v>2538382.997567595</v>
      </c>
      <c r="E314" s="441">
        <f t="shared" si="32"/>
        <v>-2279953.455452485</v>
      </c>
      <c r="F314" s="449">
        <f t="shared" si="33"/>
        <v>-0.47318270064420997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13678403.444760576</v>
      </c>
      <c r="D315" s="441">
        <f>D313*LN_IH8-LN_IH9</f>
        <v>11390582.853240833</v>
      </c>
      <c r="E315" s="441">
        <f t="shared" si="32"/>
        <v>-2287820.5915197432</v>
      </c>
      <c r="F315" s="449">
        <f t="shared" si="33"/>
        <v>-0.16725786753980254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18496739.897780657</v>
      </c>
      <c r="D318" s="441">
        <f>D314+D315+D316</f>
        <v>13928965.850808427</v>
      </c>
      <c r="E318" s="441">
        <f>D318-C318</f>
        <v>-4567774.0469722301</v>
      </c>
      <c r="F318" s="449">
        <f>IF(C318=0,0,E318/C318)</f>
        <v>-0.24695022324016663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2591018.3198168441</v>
      </c>
      <c r="D322" s="441">
        <f>LN_ID22</f>
        <v>3278323.7846514569</v>
      </c>
      <c r="E322" s="441">
        <f>LN_IV2-C322</f>
        <v>687305.46483461279</v>
      </c>
      <c r="F322" s="449">
        <f>IF(C322=0,0,E322/C322)</f>
        <v>0.26526461028002207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109230.29311639749</v>
      </c>
      <c r="D323" s="441">
        <f>LN_IE10+LN_IE22</f>
        <v>194063.24707816218</v>
      </c>
      <c r="E323" s="441">
        <f>LN_IV3-C323</f>
        <v>84832.953961764695</v>
      </c>
      <c r="F323" s="449">
        <f>IF(C323=0,0,E323/C323)</f>
        <v>0.77664310459521879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643755.69421051245</v>
      </c>
      <c r="D324" s="441">
        <f>LN_IC10+LN_IC22</f>
        <v>1604688.0138466309</v>
      </c>
      <c r="E324" s="441">
        <f>LN_IV1-C324</f>
        <v>960932.31963611848</v>
      </c>
      <c r="F324" s="449">
        <f>IF(C324=0,0,E324/C324)</f>
        <v>1.4926971959674615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3344004.3071437543</v>
      </c>
      <c r="D325" s="516">
        <f>LN_IV1+LN_IV2+LN_IV3</f>
        <v>5077075.0455762502</v>
      </c>
      <c r="E325" s="441">
        <f>LN_IV4-C325</f>
        <v>1733070.7384324959</v>
      </c>
      <c r="F325" s="449">
        <f>IF(C325=0,0,E325/C325)</f>
        <v>0.51826211309900483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0</v>
      </c>
      <c r="D330" s="516">
        <v>0</v>
      </c>
      <c r="E330" s="518">
        <f t="shared" si="34"/>
        <v>0</v>
      </c>
      <c r="F330" s="543">
        <f t="shared" si="35"/>
        <v>0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343205604</v>
      </c>
      <c r="D331" s="516">
        <v>357746082</v>
      </c>
      <c r="E331" s="518">
        <f t="shared" si="34"/>
        <v>14540478</v>
      </c>
      <c r="F331" s="542">
        <f t="shared" si="35"/>
        <v>4.2366668348457384E-2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764177043</v>
      </c>
      <c r="D333" s="516">
        <v>871015211</v>
      </c>
      <c r="E333" s="518">
        <f t="shared" si="34"/>
        <v>106838168</v>
      </c>
      <c r="F333" s="542">
        <f t="shared" si="35"/>
        <v>0.13980813605781142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11001686</v>
      </c>
      <c r="D335" s="516">
        <v>6233552</v>
      </c>
      <c r="E335" s="516">
        <f t="shared" si="34"/>
        <v>-4768134</v>
      </c>
      <c r="F335" s="542">
        <f t="shared" si="35"/>
        <v>-0.43340029882692527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38" sqref="B38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70551390</v>
      </c>
      <c r="D14" s="589">
        <v>78281643</v>
      </c>
      <c r="E14" s="590">
        <f t="shared" ref="E14:E22" si="0">D14-C14</f>
        <v>7730253</v>
      </c>
    </row>
    <row r="15" spans="1:5" s="421" customFormat="1" x14ac:dyDescent="0.2">
      <c r="A15" s="588">
        <v>2</v>
      </c>
      <c r="B15" s="587" t="s">
        <v>635</v>
      </c>
      <c r="C15" s="589">
        <v>151635646</v>
      </c>
      <c r="D15" s="591">
        <v>162559668</v>
      </c>
      <c r="E15" s="590">
        <f t="shared" si="0"/>
        <v>10924022</v>
      </c>
    </row>
    <row r="16" spans="1:5" s="421" customFormat="1" x14ac:dyDescent="0.2">
      <c r="A16" s="588">
        <v>3</v>
      </c>
      <c r="B16" s="587" t="s">
        <v>777</v>
      </c>
      <c r="C16" s="589">
        <v>71977722</v>
      </c>
      <c r="D16" s="591">
        <v>76482472</v>
      </c>
      <c r="E16" s="590">
        <f t="shared" si="0"/>
        <v>4504750</v>
      </c>
    </row>
    <row r="17" spans="1:5" s="421" customFormat="1" x14ac:dyDescent="0.2">
      <c r="A17" s="588">
        <v>4</v>
      </c>
      <c r="B17" s="587" t="s">
        <v>115</v>
      </c>
      <c r="C17" s="589">
        <v>71652252</v>
      </c>
      <c r="D17" s="591">
        <v>76233705</v>
      </c>
      <c r="E17" s="590">
        <f t="shared" si="0"/>
        <v>4581453</v>
      </c>
    </row>
    <row r="18" spans="1:5" s="421" customFormat="1" x14ac:dyDescent="0.2">
      <c r="A18" s="588">
        <v>5</v>
      </c>
      <c r="B18" s="587" t="s">
        <v>743</v>
      </c>
      <c r="C18" s="589">
        <v>325470</v>
      </c>
      <c r="D18" s="591">
        <v>248767</v>
      </c>
      <c r="E18" s="590">
        <f t="shared" si="0"/>
        <v>-76703</v>
      </c>
    </row>
    <row r="19" spans="1:5" s="421" customFormat="1" x14ac:dyDescent="0.2">
      <c r="A19" s="588">
        <v>6</v>
      </c>
      <c r="B19" s="587" t="s">
        <v>424</v>
      </c>
      <c r="C19" s="589">
        <v>894989</v>
      </c>
      <c r="D19" s="591">
        <v>910445</v>
      </c>
      <c r="E19" s="590">
        <f t="shared" si="0"/>
        <v>15456</v>
      </c>
    </row>
    <row r="20" spans="1:5" s="421" customFormat="1" x14ac:dyDescent="0.2">
      <c r="A20" s="588">
        <v>7</v>
      </c>
      <c r="B20" s="587" t="s">
        <v>758</v>
      </c>
      <c r="C20" s="589">
        <v>571912</v>
      </c>
      <c r="D20" s="591">
        <v>419392</v>
      </c>
      <c r="E20" s="590">
        <f t="shared" si="0"/>
        <v>-152520</v>
      </c>
    </row>
    <row r="21" spans="1:5" s="421" customFormat="1" x14ac:dyDescent="0.2">
      <c r="A21" s="588"/>
      <c r="B21" s="592" t="s">
        <v>778</v>
      </c>
      <c r="C21" s="593">
        <f>SUM(C15+C16+C19)</f>
        <v>224508357</v>
      </c>
      <c r="D21" s="593">
        <f>SUM(D15+D16+D19)</f>
        <v>239952585</v>
      </c>
      <c r="E21" s="593">
        <f t="shared" si="0"/>
        <v>15444228</v>
      </c>
    </row>
    <row r="22" spans="1:5" s="421" customFormat="1" x14ac:dyDescent="0.2">
      <c r="A22" s="588"/>
      <c r="B22" s="592" t="s">
        <v>465</v>
      </c>
      <c r="C22" s="593">
        <f>SUM(C14+C21)</f>
        <v>295059747</v>
      </c>
      <c r="D22" s="593">
        <f>SUM(D14+D21)</f>
        <v>318234228</v>
      </c>
      <c r="E22" s="593">
        <f t="shared" si="0"/>
        <v>23174481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207724851</v>
      </c>
      <c r="D25" s="589">
        <v>244841132</v>
      </c>
      <c r="E25" s="590">
        <f t="shared" ref="E25:E33" si="1">D25-C25</f>
        <v>37116281</v>
      </c>
    </row>
    <row r="26" spans="1:5" s="421" customFormat="1" x14ac:dyDescent="0.2">
      <c r="A26" s="588">
        <v>2</v>
      </c>
      <c r="B26" s="587" t="s">
        <v>635</v>
      </c>
      <c r="C26" s="589">
        <v>153670945</v>
      </c>
      <c r="D26" s="591">
        <v>183731635</v>
      </c>
      <c r="E26" s="590">
        <f t="shared" si="1"/>
        <v>30060690</v>
      </c>
    </row>
    <row r="27" spans="1:5" s="421" customFormat="1" x14ac:dyDescent="0.2">
      <c r="A27" s="588">
        <v>3</v>
      </c>
      <c r="B27" s="587" t="s">
        <v>777</v>
      </c>
      <c r="C27" s="589">
        <v>104650864</v>
      </c>
      <c r="D27" s="591">
        <v>121140396</v>
      </c>
      <c r="E27" s="590">
        <f t="shared" si="1"/>
        <v>16489532</v>
      </c>
    </row>
    <row r="28" spans="1:5" s="421" customFormat="1" x14ac:dyDescent="0.2">
      <c r="A28" s="588">
        <v>4</v>
      </c>
      <c r="B28" s="587" t="s">
        <v>115</v>
      </c>
      <c r="C28" s="589">
        <v>104478208</v>
      </c>
      <c r="D28" s="591">
        <v>120947843</v>
      </c>
      <c r="E28" s="590">
        <f t="shared" si="1"/>
        <v>16469635</v>
      </c>
    </row>
    <row r="29" spans="1:5" s="421" customFormat="1" x14ac:dyDescent="0.2">
      <c r="A29" s="588">
        <v>5</v>
      </c>
      <c r="B29" s="587" t="s">
        <v>743</v>
      </c>
      <c r="C29" s="589">
        <v>172656</v>
      </c>
      <c r="D29" s="591">
        <v>192553</v>
      </c>
      <c r="E29" s="590">
        <f t="shared" si="1"/>
        <v>19897</v>
      </c>
    </row>
    <row r="30" spans="1:5" s="421" customFormat="1" x14ac:dyDescent="0.2">
      <c r="A30" s="588">
        <v>6</v>
      </c>
      <c r="B30" s="587" t="s">
        <v>424</v>
      </c>
      <c r="C30" s="589">
        <v>3070634</v>
      </c>
      <c r="D30" s="591">
        <v>3067819</v>
      </c>
      <c r="E30" s="590">
        <f t="shared" si="1"/>
        <v>-2815</v>
      </c>
    </row>
    <row r="31" spans="1:5" s="421" customFormat="1" x14ac:dyDescent="0.2">
      <c r="A31" s="588">
        <v>7</v>
      </c>
      <c r="B31" s="587" t="s">
        <v>758</v>
      </c>
      <c r="C31" s="590">
        <v>2766356</v>
      </c>
      <c r="D31" s="594">
        <v>3649810</v>
      </c>
      <c r="E31" s="590">
        <f t="shared" si="1"/>
        <v>883454</v>
      </c>
    </row>
    <row r="32" spans="1:5" s="421" customFormat="1" x14ac:dyDescent="0.2">
      <c r="A32" s="588"/>
      <c r="B32" s="592" t="s">
        <v>780</v>
      </c>
      <c r="C32" s="593">
        <f>SUM(C26+C27+C30)</f>
        <v>261392443</v>
      </c>
      <c r="D32" s="593">
        <f>SUM(D26+D27+D30)</f>
        <v>307939850</v>
      </c>
      <c r="E32" s="593">
        <f t="shared" si="1"/>
        <v>46547407</v>
      </c>
    </row>
    <row r="33" spans="1:5" s="421" customFormat="1" x14ac:dyDescent="0.2">
      <c r="A33" s="588"/>
      <c r="B33" s="592" t="s">
        <v>467</v>
      </c>
      <c r="C33" s="593">
        <f>SUM(C25+C32)</f>
        <v>469117294</v>
      </c>
      <c r="D33" s="593">
        <f>SUM(D25+D32)</f>
        <v>552780982</v>
      </c>
      <c r="E33" s="593">
        <f t="shared" si="1"/>
        <v>83663688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278276241</v>
      </c>
      <c r="D36" s="590">
        <f t="shared" si="2"/>
        <v>323122775</v>
      </c>
      <c r="E36" s="590">
        <f t="shared" ref="E36:E44" si="3">D36-C36</f>
        <v>44846534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305306591</v>
      </c>
      <c r="D37" s="590">
        <f t="shared" si="2"/>
        <v>346291303</v>
      </c>
      <c r="E37" s="590">
        <f t="shared" si="3"/>
        <v>40984712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176628586</v>
      </c>
      <c r="D38" s="590">
        <f t="shared" si="2"/>
        <v>197622868</v>
      </c>
      <c r="E38" s="590">
        <f t="shared" si="3"/>
        <v>20994282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176130460</v>
      </c>
      <c r="D39" s="590">
        <f t="shared" si="2"/>
        <v>197181548</v>
      </c>
      <c r="E39" s="590">
        <f t="shared" si="3"/>
        <v>21051088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498126</v>
      </c>
      <c r="D40" s="590">
        <f t="shared" si="2"/>
        <v>441320</v>
      </c>
      <c r="E40" s="590">
        <f t="shared" si="3"/>
        <v>-56806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3965623</v>
      </c>
      <c r="D41" s="590">
        <f t="shared" si="2"/>
        <v>3978264</v>
      </c>
      <c r="E41" s="590">
        <f t="shared" si="3"/>
        <v>12641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3338268</v>
      </c>
      <c r="D42" s="590">
        <f t="shared" si="2"/>
        <v>4069202</v>
      </c>
      <c r="E42" s="590">
        <f t="shared" si="3"/>
        <v>730934</v>
      </c>
    </row>
    <row r="43" spans="1:5" s="421" customFormat="1" x14ac:dyDescent="0.2">
      <c r="A43" s="588"/>
      <c r="B43" s="592" t="s">
        <v>788</v>
      </c>
      <c r="C43" s="593">
        <f>SUM(C37+C38+C41)</f>
        <v>485900800</v>
      </c>
      <c r="D43" s="593">
        <f>SUM(D37+D38+D41)</f>
        <v>547892435</v>
      </c>
      <c r="E43" s="593">
        <f t="shared" si="3"/>
        <v>61991635</v>
      </c>
    </row>
    <row r="44" spans="1:5" s="421" customFormat="1" x14ac:dyDescent="0.2">
      <c r="A44" s="588"/>
      <c r="B44" s="592" t="s">
        <v>725</v>
      </c>
      <c r="C44" s="593">
        <f>SUM(C36+C43)</f>
        <v>764177041</v>
      </c>
      <c r="D44" s="593">
        <f>SUM(D36+D43)</f>
        <v>871015210</v>
      </c>
      <c r="E44" s="593">
        <f t="shared" si="3"/>
        <v>106838169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39291884</v>
      </c>
      <c r="D47" s="589">
        <v>39659523</v>
      </c>
      <c r="E47" s="590">
        <f t="shared" ref="E47:E55" si="4">D47-C47</f>
        <v>367639</v>
      </c>
    </row>
    <row r="48" spans="1:5" s="421" customFormat="1" x14ac:dyDescent="0.2">
      <c r="A48" s="588">
        <v>2</v>
      </c>
      <c r="B48" s="587" t="s">
        <v>635</v>
      </c>
      <c r="C48" s="589">
        <v>77290861</v>
      </c>
      <c r="D48" s="591">
        <v>79769207</v>
      </c>
      <c r="E48" s="590">
        <f t="shared" si="4"/>
        <v>2478346</v>
      </c>
    </row>
    <row r="49" spans="1:5" s="421" customFormat="1" x14ac:dyDescent="0.2">
      <c r="A49" s="588">
        <v>3</v>
      </c>
      <c r="B49" s="587" t="s">
        <v>777</v>
      </c>
      <c r="C49" s="589">
        <v>26879673</v>
      </c>
      <c r="D49" s="591">
        <v>30435432</v>
      </c>
      <c r="E49" s="590">
        <f t="shared" si="4"/>
        <v>3555759</v>
      </c>
    </row>
    <row r="50" spans="1:5" s="421" customFormat="1" x14ac:dyDescent="0.2">
      <c r="A50" s="588">
        <v>4</v>
      </c>
      <c r="B50" s="587" t="s">
        <v>115</v>
      </c>
      <c r="C50" s="589">
        <v>26840885</v>
      </c>
      <c r="D50" s="591">
        <v>30400390</v>
      </c>
      <c r="E50" s="590">
        <f t="shared" si="4"/>
        <v>3559505</v>
      </c>
    </row>
    <row r="51" spans="1:5" s="421" customFormat="1" x14ac:dyDescent="0.2">
      <c r="A51" s="588">
        <v>5</v>
      </c>
      <c r="B51" s="587" t="s">
        <v>743</v>
      </c>
      <c r="C51" s="589">
        <v>38788</v>
      </c>
      <c r="D51" s="591">
        <v>35042</v>
      </c>
      <c r="E51" s="590">
        <f t="shared" si="4"/>
        <v>-3746</v>
      </c>
    </row>
    <row r="52" spans="1:5" s="421" customFormat="1" x14ac:dyDescent="0.2">
      <c r="A52" s="588">
        <v>6</v>
      </c>
      <c r="B52" s="587" t="s">
        <v>424</v>
      </c>
      <c r="C52" s="589">
        <v>370931</v>
      </c>
      <c r="D52" s="591">
        <v>402791</v>
      </c>
      <c r="E52" s="590">
        <f t="shared" si="4"/>
        <v>31860</v>
      </c>
    </row>
    <row r="53" spans="1:5" s="421" customFormat="1" x14ac:dyDescent="0.2">
      <c r="A53" s="588">
        <v>7</v>
      </c>
      <c r="B53" s="587" t="s">
        <v>758</v>
      </c>
      <c r="C53" s="589">
        <v>154699</v>
      </c>
      <c r="D53" s="591">
        <v>128016</v>
      </c>
      <c r="E53" s="590">
        <f t="shared" si="4"/>
        <v>-26683</v>
      </c>
    </row>
    <row r="54" spans="1:5" s="421" customFormat="1" x14ac:dyDescent="0.2">
      <c r="A54" s="588"/>
      <c r="B54" s="592" t="s">
        <v>790</v>
      </c>
      <c r="C54" s="593">
        <f>SUM(C48+C49+C52)</f>
        <v>104541465</v>
      </c>
      <c r="D54" s="593">
        <f>SUM(D48+D49+D52)</f>
        <v>110607430</v>
      </c>
      <c r="E54" s="593">
        <f t="shared" si="4"/>
        <v>6065965</v>
      </c>
    </row>
    <row r="55" spans="1:5" s="421" customFormat="1" x14ac:dyDescent="0.2">
      <c r="A55" s="588"/>
      <c r="B55" s="592" t="s">
        <v>466</v>
      </c>
      <c r="C55" s="593">
        <f>SUM(C47+C54)</f>
        <v>143833349</v>
      </c>
      <c r="D55" s="593">
        <f>SUM(D47+D54)</f>
        <v>150266953</v>
      </c>
      <c r="E55" s="593">
        <f t="shared" si="4"/>
        <v>6433604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114085973</v>
      </c>
      <c r="D58" s="589">
        <v>117842159</v>
      </c>
      <c r="E58" s="590">
        <f t="shared" ref="E58:E66" si="5">D58-C58</f>
        <v>3756186</v>
      </c>
    </row>
    <row r="59" spans="1:5" s="421" customFormat="1" x14ac:dyDescent="0.2">
      <c r="A59" s="588">
        <v>2</v>
      </c>
      <c r="B59" s="587" t="s">
        <v>635</v>
      </c>
      <c r="C59" s="589">
        <v>47499859</v>
      </c>
      <c r="D59" s="591">
        <v>50107431</v>
      </c>
      <c r="E59" s="590">
        <f t="shared" si="5"/>
        <v>2607572</v>
      </c>
    </row>
    <row r="60" spans="1:5" s="421" customFormat="1" x14ac:dyDescent="0.2">
      <c r="A60" s="588">
        <v>3</v>
      </c>
      <c r="B60" s="587" t="s">
        <v>777</v>
      </c>
      <c r="C60" s="589">
        <f>C61+C62</f>
        <v>36798790</v>
      </c>
      <c r="D60" s="591">
        <f>D61+D62</f>
        <v>38648573</v>
      </c>
      <c r="E60" s="590">
        <f t="shared" si="5"/>
        <v>1849783</v>
      </c>
    </row>
    <row r="61" spans="1:5" s="421" customFormat="1" x14ac:dyDescent="0.2">
      <c r="A61" s="588">
        <v>4</v>
      </c>
      <c r="B61" s="587" t="s">
        <v>115</v>
      </c>
      <c r="C61" s="589">
        <v>36745878</v>
      </c>
      <c r="D61" s="591">
        <v>38640049</v>
      </c>
      <c r="E61" s="590">
        <f t="shared" si="5"/>
        <v>1894171</v>
      </c>
    </row>
    <row r="62" spans="1:5" s="421" customFormat="1" x14ac:dyDescent="0.2">
      <c r="A62" s="588">
        <v>5</v>
      </c>
      <c r="B62" s="587" t="s">
        <v>743</v>
      </c>
      <c r="C62" s="589">
        <v>52912</v>
      </c>
      <c r="D62" s="591">
        <v>8524</v>
      </c>
      <c r="E62" s="590">
        <f t="shared" si="5"/>
        <v>-44388</v>
      </c>
    </row>
    <row r="63" spans="1:5" s="421" customFormat="1" x14ac:dyDescent="0.2">
      <c r="A63" s="588">
        <v>6</v>
      </c>
      <c r="B63" s="587" t="s">
        <v>424</v>
      </c>
      <c r="C63" s="589">
        <v>987633</v>
      </c>
      <c r="D63" s="591">
        <v>880967</v>
      </c>
      <c r="E63" s="590">
        <f t="shared" si="5"/>
        <v>-106666</v>
      </c>
    </row>
    <row r="64" spans="1:5" s="421" customFormat="1" x14ac:dyDescent="0.2">
      <c r="A64" s="588">
        <v>7</v>
      </c>
      <c r="B64" s="587" t="s">
        <v>758</v>
      </c>
      <c r="C64" s="589">
        <v>705866</v>
      </c>
      <c r="D64" s="591">
        <v>765058</v>
      </c>
      <c r="E64" s="590">
        <f t="shared" si="5"/>
        <v>59192</v>
      </c>
    </row>
    <row r="65" spans="1:5" s="421" customFormat="1" x14ac:dyDescent="0.2">
      <c r="A65" s="588"/>
      <c r="B65" s="592" t="s">
        <v>792</v>
      </c>
      <c r="C65" s="593">
        <f>SUM(C59+C60+C63)</f>
        <v>85286282</v>
      </c>
      <c r="D65" s="593">
        <f>SUM(D59+D60+D63)</f>
        <v>89636971</v>
      </c>
      <c r="E65" s="593">
        <f t="shared" si="5"/>
        <v>4350689</v>
      </c>
    </row>
    <row r="66" spans="1:5" s="421" customFormat="1" x14ac:dyDescent="0.2">
      <c r="A66" s="588"/>
      <c r="B66" s="592" t="s">
        <v>468</v>
      </c>
      <c r="C66" s="593">
        <f>SUM(C58+C65)</f>
        <v>199372255</v>
      </c>
      <c r="D66" s="593">
        <f>SUM(D58+D65)</f>
        <v>207479130</v>
      </c>
      <c r="E66" s="593">
        <f t="shared" si="5"/>
        <v>8106875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153377857</v>
      </c>
      <c r="D69" s="590">
        <f t="shared" si="6"/>
        <v>157501682</v>
      </c>
      <c r="E69" s="590">
        <f t="shared" ref="E69:E77" si="7">D69-C69</f>
        <v>4123825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124790720</v>
      </c>
      <c r="D70" s="590">
        <f t="shared" si="6"/>
        <v>129876638</v>
      </c>
      <c r="E70" s="590">
        <f t="shared" si="7"/>
        <v>5085918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63678463</v>
      </c>
      <c r="D71" s="590">
        <f t="shared" si="6"/>
        <v>69084005</v>
      </c>
      <c r="E71" s="590">
        <f t="shared" si="7"/>
        <v>5405542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63586763</v>
      </c>
      <c r="D72" s="590">
        <f t="shared" si="6"/>
        <v>69040439</v>
      </c>
      <c r="E72" s="590">
        <f t="shared" si="7"/>
        <v>5453676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91700</v>
      </c>
      <c r="D73" s="590">
        <f t="shared" si="6"/>
        <v>43566</v>
      </c>
      <c r="E73" s="590">
        <f t="shared" si="7"/>
        <v>-48134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1358564</v>
      </c>
      <c r="D74" s="590">
        <f t="shared" si="6"/>
        <v>1283758</v>
      </c>
      <c r="E74" s="590">
        <f t="shared" si="7"/>
        <v>-74806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860565</v>
      </c>
      <c r="D75" s="590">
        <f t="shared" si="6"/>
        <v>893074</v>
      </c>
      <c r="E75" s="590">
        <f t="shared" si="7"/>
        <v>32509</v>
      </c>
    </row>
    <row r="76" spans="1:5" s="421" customFormat="1" x14ac:dyDescent="0.2">
      <c r="A76" s="588"/>
      <c r="B76" s="592" t="s">
        <v>793</v>
      </c>
      <c r="C76" s="593">
        <f>SUM(C70+C71+C74)</f>
        <v>189827747</v>
      </c>
      <c r="D76" s="593">
        <f>SUM(D70+D71+D74)</f>
        <v>200244401</v>
      </c>
      <c r="E76" s="593">
        <f t="shared" si="7"/>
        <v>10416654</v>
      </c>
    </row>
    <row r="77" spans="1:5" s="421" customFormat="1" x14ac:dyDescent="0.2">
      <c r="A77" s="588"/>
      <c r="B77" s="592" t="s">
        <v>726</v>
      </c>
      <c r="C77" s="593">
        <f>SUM(C69+C76)</f>
        <v>343205604</v>
      </c>
      <c r="D77" s="593">
        <f>SUM(D69+D76)</f>
        <v>357746083</v>
      </c>
      <c r="E77" s="593">
        <f t="shared" si="7"/>
        <v>14540479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9.2323357304318704E-2</v>
      </c>
      <c r="D83" s="599">
        <f t="shared" si="8"/>
        <v>8.9874025276780178E-2</v>
      </c>
      <c r="E83" s="599">
        <f t="shared" ref="E83:E91" si="9">D83-C83</f>
        <v>-2.4493320275385255E-3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0.19842999444418011</v>
      </c>
      <c r="D84" s="599">
        <f t="shared" si="8"/>
        <v>0.18663241024229646</v>
      </c>
      <c r="E84" s="599">
        <f t="shared" si="9"/>
        <v>-1.1797584201883649E-2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9.4189851484951903E-2</v>
      </c>
      <c r="D85" s="599">
        <f t="shared" si="8"/>
        <v>8.7808423001017405E-2</v>
      </c>
      <c r="E85" s="599">
        <f t="shared" si="9"/>
        <v>-6.3814284839344981E-3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9.3763942327076535E-2</v>
      </c>
      <c r="D86" s="599">
        <f t="shared" si="8"/>
        <v>8.752281719626917E-2</v>
      </c>
      <c r="E86" s="599">
        <f t="shared" si="9"/>
        <v>-6.2411251308073651E-3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4.2590915787536727E-4</v>
      </c>
      <c r="D87" s="599">
        <f t="shared" si="8"/>
        <v>2.8560580474823168E-4</v>
      </c>
      <c r="E87" s="599">
        <f t="shared" si="9"/>
        <v>-1.4030335312713559E-4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1.1711801742025903E-3</v>
      </c>
      <c r="D88" s="599">
        <f t="shared" si="8"/>
        <v>1.0452687732054645E-3</v>
      </c>
      <c r="E88" s="599">
        <f t="shared" si="9"/>
        <v>-1.2591140099712573E-4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7.4840248962674606E-4</v>
      </c>
      <c r="D89" s="599">
        <f t="shared" si="8"/>
        <v>4.814979063339204E-4</v>
      </c>
      <c r="E89" s="599">
        <f t="shared" si="9"/>
        <v>-2.6690458329282565E-4</v>
      </c>
    </row>
    <row r="90" spans="1:5" s="421" customFormat="1" x14ac:dyDescent="0.2">
      <c r="A90" s="588"/>
      <c r="B90" s="592" t="s">
        <v>796</v>
      </c>
      <c r="C90" s="600">
        <f>SUM(C84+C85+C88)</f>
        <v>0.29379102610333463</v>
      </c>
      <c r="D90" s="600">
        <f>SUM(D84+D85+D88)</f>
        <v>0.27548610201651935</v>
      </c>
      <c r="E90" s="601">
        <f t="shared" si="9"/>
        <v>-1.8304924086815277E-2</v>
      </c>
    </row>
    <row r="91" spans="1:5" s="421" customFormat="1" x14ac:dyDescent="0.2">
      <c r="A91" s="588"/>
      <c r="B91" s="592" t="s">
        <v>797</v>
      </c>
      <c r="C91" s="600">
        <f>SUM(C83+C90)</f>
        <v>0.38611438340765336</v>
      </c>
      <c r="D91" s="600">
        <f>SUM(D83+D90)</f>
        <v>0.36536012729329953</v>
      </c>
      <c r="E91" s="601">
        <f t="shared" si="9"/>
        <v>-2.0754256114353831E-2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0.27182817574337464</v>
      </c>
      <c r="D95" s="599">
        <f t="shared" si="10"/>
        <v>0.2810985723199943</v>
      </c>
      <c r="E95" s="599">
        <f t="shared" ref="E95:E103" si="11">D95-C95</f>
        <v>9.270396576619655E-3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0.20109338118678183</v>
      </c>
      <c r="D96" s="599">
        <f t="shared" si="10"/>
        <v>0.21093964019296518</v>
      </c>
      <c r="E96" s="599">
        <f t="shared" si="11"/>
        <v>9.8462590061833555E-3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0.13694583635102955</v>
      </c>
      <c r="D97" s="599">
        <f t="shared" si="10"/>
        <v>0.13907954144681353</v>
      </c>
      <c r="E97" s="599">
        <f t="shared" si="11"/>
        <v>2.1337050957839776E-3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0.13671989917844182</v>
      </c>
      <c r="D98" s="599">
        <f t="shared" si="10"/>
        <v>0.1388584741246941</v>
      </c>
      <c r="E98" s="599">
        <f t="shared" si="11"/>
        <v>2.1385749462522752E-3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2.2593717258773284E-4</v>
      </c>
      <c r="D99" s="599">
        <f t="shared" si="10"/>
        <v>2.2106732211943809E-4</v>
      </c>
      <c r="E99" s="599">
        <f t="shared" si="11"/>
        <v>-4.8698504682947574E-6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4.0182233111606923E-3</v>
      </c>
      <c r="D100" s="599">
        <f t="shared" si="10"/>
        <v>3.5221187469275076E-3</v>
      </c>
      <c r="E100" s="599">
        <f t="shared" si="11"/>
        <v>-4.9610456423318473E-4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3.6200459469182089E-3</v>
      </c>
      <c r="D101" s="599">
        <f t="shared" si="10"/>
        <v>4.1902942200056411E-3</v>
      </c>
      <c r="E101" s="599">
        <f t="shared" si="11"/>
        <v>5.702482730874322E-4</v>
      </c>
    </row>
    <row r="102" spans="1:5" s="421" customFormat="1" x14ac:dyDescent="0.2">
      <c r="A102" s="588"/>
      <c r="B102" s="592" t="s">
        <v>799</v>
      </c>
      <c r="C102" s="600">
        <f>SUM(C96+C97+C100)</f>
        <v>0.34205744084897211</v>
      </c>
      <c r="D102" s="600">
        <f>SUM(D96+D97+D100)</f>
        <v>0.35354130038670623</v>
      </c>
      <c r="E102" s="601">
        <f t="shared" si="11"/>
        <v>1.148385953773412E-2</v>
      </c>
    </row>
    <row r="103" spans="1:5" s="421" customFormat="1" x14ac:dyDescent="0.2">
      <c r="A103" s="588"/>
      <c r="B103" s="592" t="s">
        <v>800</v>
      </c>
      <c r="C103" s="600">
        <f>SUM(C95+C102)</f>
        <v>0.61388561659234675</v>
      </c>
      <c r="D103" s="600">
        <f>SUM(D95+D102)</f>
        <v>0.63463987270670053</v>
      </c>
      <c r="E103" s="601">
        <f t="shared" si="11"/>
        <v>2.0754256114353775E-2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0.11448497210435993</v>
      </c>
      <c r="D109" s="599">
        <f t="shared" si="12"/>
        <v>0.11085941924904318</v>
      </c>
      <c r="E109" s="599">
        <f t="shared" ref="E109:E117" si="13">D109-C109</f>
        <v>-3.6255528553167521E-3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0.22520279418281294</v>
      </c>
      <c r="D110" s="599">
        <f t="shared" si="12"/>
        <v>0.22297716394563571</v>
      </c>
      <c r="E110" s="599">
        <f t="shared" si="13"/>
        <v>-2.2256302371772285E-3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7.8319446671972173E-2</v>
      </c>
      <c r="D111" s="599">
        <f t="shared" si="12"/>
        <v>8.5075514299900803E-2</v>
      </c>
      <c r="E111" s="599">
        <f t="shared" si="13"/>
        <v>6.7560676279286302E-3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7.8206429869367752E-2</v>
      </c>
      <c r="D112" s="599">
        <f t="shared" si="12"/>
        <v>8.4977562144265328E-2</v>
      </c>
      <c r="E112" s="599">
        <f t="shared" si="13"/>
        <v>6.7711322748975761E-3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1.1301680260442367E-4</v>
      </c>
      <c r="D113" s="599">
        <f t="shared" si="12"/>
        <v>9.7952155635481824E-5</v>
      </c>
      <c r="E113" s="599">
        <f t="shared" si="13"/>
        <v>-1.5064646968941843E-5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1.0807836342905403E-3</v>
      </c>
      <c r="D114" s="599">
        <f t="shared" si="12"/>
        <v>1.1259130963007637E-3</v>
      </c>
      <c r="E114" s="599">
        <f t="shared" si="13"/>
        <v>4.5129462010223354E-5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4.5074730190011698E-4</v>
      </c>
      <c r="D115" s="599">
        <f t="shared" si="12"/>
        <v>3.5784039597716572E-4</v>
      </c>
      <c r="E115" s="599">
        <f t="shared" si="13"/>
        <v>-9.290690592295126E-5</v>
      </c>
    </row>
    <row r="116" spans="1:5" s="421" customFormat="1" x14ac:dyDescent="0.2">
      <c r="A116" s="588"/>
      <c r="B116" s="592" t="s">
        <v>796</v>
      </c>
      <c r="C116" s="600">
        <f>SUM(C110+C111+C114)</f>
        <v>0.30460302448907567</v>
      </c>
      <c r="D116" s="600">
        <f>SUM(D110+D111+D114)</f>
        <v>0.30917859134183728</v>
      </c>
      <c r="E116" s="601">
        <f t="shared" si="13"/>
        <v>4.5755668527616145E-3</v>
      </c>
    </row>
    <row r="117" spans="1:5" s="421" customFormat="1" x14ac:dyDescent="0.2">
      <c r="A117" s="588"/>
      <c r="B117" s="592" t="s">
        <v>797</v>
      </c>
      <c r="C117" s="600">
        <f>SUM(C109+C116)</f>
        <v>0.4190879965934356</v>
      </c>
      <c r="D117" s="600">
        <f>SUM(D109+D116)</f>
        <v>0.42003801059088047</v>
      </c>
      <c r="E117" s="601">
        <f t="shared" si="13"/>
        <v>9.5001399744487625E-4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0.33241290838595983</v>
      </c>
      <c r="D121" s="599">
        <f t="shared" si="14"/>
        <v>0.32940167509814494</v>
      </c>
      <c r="E121" s="599">
        <f t="shared" ref="E121:E129" si="15">D121-C121</f>
        <v>-3.0112332878148851E-3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0.13840059266631322</v>
      </c>
      <c r="D122" s="599">
        <f t="shared" si="14"/>
        <v>0.14006423377107946</v>
      </c>
      <c r="E122" s="599">
        <f t="shared" si="15"/>
        <v>1.6636411047662447E-3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0.10722083081137568</v>
      </c>
      <c r="D123" s="599">
        <f t="shared" si="14"/>
        <v>0.10803353226372013</v>
      </c>
      <c r="E123" s="599">
        <f t="shared" si="15"/>
        <v>8.1270145234445257E-4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0.10706666083459407</v>
      </c>
      <c r="D124" s="599">
        <f t="shared" si="14"/>
        <v>0.10800970530821996</v>
      </c>
      <c r="E124" s="599">
        <f t="shared" si="15"/>
        <v>9.430444736258925E-4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1.5416997678161456E-4</v>
      </c>
      <c r="D125" s="599">
        <f t="shared" si="14"/>
        <v>2.3826955500166861E-5</v>
      </c>
      <c r="E125" s="599">
        <f t="shared" si="15"/>
        <v>-1.3034302128144768E-4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2.8776715429157155E-3</v>
      </c>
      <c r="D126" s="599">
        <f t="shared" si="14"/>
        <v>2.4625482761749763E-3</v>
      </c>
      <c r="E126" s="599">
        <f t="shared" si="15"/>
        <v>-4.1512326674073919E-4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2.0566855312770475E-3</v>
      </c>
      <c r="D127" s="599">
        <f t="shared" si="14"/>
        <v>2.1385503192218039E-3</v>
      </c>
      <c r="E127" s="599">
        <f t="shared" si="15"/>
        <v>8.1864787944756386E-5</v>
      </c>
    </row>
    <row r="128" spans="1:5" s="421" customFormat="1" x14ac:dyDescent="0.2">
      <c r="A128" s="588"/>
      <c r="B128" s="592" t="s">
        <v>799</v>
      </c>
      <c r="C128" s="600">
        <f>SUM(C122+C123+C126)</f>
        <v>0.2484990950206046</v>
      </c>
      <c r="D128" s="600">
        <f>SUM(D122+D123+D126)</f>
        <v>0.25056031431097459</v>
      </c>
      <c r="E128" s="601">
        <f t="shared" si="15"/>
        <v>2.0612192903699811E-3</v>
      </c>
    </row>
    <row r="129" spans="1:5" s="421" customFormat="1" x14ac:dyDescent="0.2">
      <c r="A129" s="588"/>
      <c r="B129" s="592" t="s">
        <v>800</v>
      </c>
      <c r="C129" s="600">
        <f>SUM(C121+C128)</f>
        <v>0.58091200340656446</v>
      </c>
      <c r="D129" s="600">
        <f>SUM(D121+D128)</f>
        <v>0.57996198940911947</v>
      </c>
      <c r="E129" s="601">
        <f t="shared" si="15"/>
        <v>-9.5001399744498727E-4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2495</v>
      </c>
      <c r="D137" s="606">
        <v>2617</v>
      </c>
      <c r="E137" s="607">
        <f t="shared" ref="E137:E145" si="16">D137-C137</f>
        <v>122</v>
      </c>
    </row>
    <row r="138" spans="1:5" s="421" customFormat="1" x14ac:dyDescent="0.2">
      <c r="A138" s="588">
        <v>2</v>
      </c>
      <c r="B138" s="587" t="s">
        <v>635</v>
      </c>
      <c r="C138" s="606">
        <v>3996</v>
      </c>
      <c r="D138" s="606">
        <v>4017</v>
      </c>
      <c r="E138" s="607">
        <f t="shared" si="16"/>
        <v>21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2312</v>
      </c>
      <c r="D139" s="606">
        <f>D140+D141</f>
        <v>2406</v>
      </c>
      <c r="E139" s="607">
        <f t="shared" si="16"/>
        <v>94</v>
      </c>
    </row>
    <row r="140" spans="1:5" s="421" customFormat="1" x14ac:dyDescent="0.2">
      <c r="A140" s="588">
        <v>4</v>
      </c>
      <c r="B140" s="587" t="s">
        <v>115</v>
      </c>
      <c r="C140" s="606">
        <v>2300</v>
      </c>
      <c r="D140" s="606">
        <v>2394</v>
      </c>
      <c r="E140" s="607">
        <f t="shared" si="16"/>
        <v>94</v>
      </c>
    </row>
    <row r="141" spans="1:5" s="421" customFormat="1" x14ac:dyDescent="0.2">
      <c r="A141" s="588">
        <v>5</v>
      </c>
      <c r="B141" s="587" t="s">
        <v>743</v>
      </c>
      <c r="C141" s="606">
        <v>12</v>
      </c>
      <c r="D141" s="606">
        <v>12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43</v>
      </c>
      <c r="D142" s="606">
        <v>39</v>
      </c>
      <c r="E142" s="607">
        <f t="shared" si="16"/>
        <v>-4</v>
      </c>
    </row>
    <row r="143" spans="1:5" s="421" customFormat="1" x14ac:dyDescent="0.2">
      <c r="A143" s="588">
        <v>7</v>
      </c>
      <c r="B143" s="587" t="s">
        <v>758</v>
      </c>
      <c r="C143" s="606">
        <v>21</v>
      </c>
      <c r="D143" s="606">
        <v>22</v>
      </c>
      <c r="E143" s="607">
        <f t="shared" si="16"/>
        <v>1</v>
      </c>
    </row>
    <row r="144" spans="1:5" s="421" customFormat="1" x14ac:dyDescent="0.2">
      <c r="A144" s="588"/>
      <c r="B144" s="592" t="s">
        <v>807</v>
      </c>
      <c r="C144" s="608">
        <f>SUM(C138+C139+C142)</f>
        <v>6351</v>
      </c>
      <c r="D144" s="608">
        <f>SUM(D138+D139+D142)</f>
        <v>6462</v>
      </c>
      <c r="E144" s="609">
        <f t="shared" si="16"/>
        <v>111</v>
      </c>
    </row>
    <row r="145" spans="1:5" s="421" customFormat="1" x14ac:dyDescent="0.2">
      <c r="A145" s="588"/>
      <c r="B145" s="592" t="s">
        <v>138</v>
      </c>
      <c r="C145" s="608">
        <f>SUM(C137+C144)</f>
        <v>8846</v>
      </c>
      <c r="D145" s="608">
        <f>SUM(D137+D144)</f>
        <v>9079</v>
      </c>
      <c r="E145" s="609">
        <f t="shared" si="16"/>
        <v>233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9366</v>
      </c>
      <c r="D149" s="610">
        <v>9586</v>
      </c>
      <c r="E149" s="607">
        <f t="shared" ref="E149:E157" si="17">D149-C149</f>
        <v>220</v>
      </c>
    </row>
    <row r="150" spans="1:5" s="421" customFormat="1" x14ac:dyDescent="0.2">
      <c r="A150" s="588">
        <v>2</v>
      </c>
      <c r="B150" s="587" t="s">
        <v>635</v>
      </c>
      <c r="C150" s="610">
        <v>19230</v>
      </c>
      <c r="D150" s="610">
        <v>18612</v>
      </c>
      <c r="E150" s="607">
        <f t="shared" si="17"/>
        <v>-618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9634</v>
      </c>
      <c r="D151" s="610">
        <f>D152+D153</f>
        <v>9419</v>
      </c>
      <c r="E151" s="607">
        <f t="shared" si="17"/>
        <v>-215</v>
      </c>
    </row>
    <row r="152" spans="1:5" s="421" customFormat="1" x14ac:dyDescent="0.2">
      <c r="A152" s="588">
        <v>4</v>
      </c>
      <c r="B152" s="587" t="s">
        <v>115</v>
      </c>
      <c r="C152" s="610">
        <v>9594</v>
      </c>
      <c r="D152" s="610">
        <v>9373</v>
      </c>
      <c r="E152" s="607">
        <f t="shared" si="17"/>
        <v>-221</v>
      </c>
    </row>
    <row r="153" spans="1:5" s="421" customFormat="1" x14ac:dyDescent="0.2">
      <c r="A153" s="588">
        <v>5</v>
      </c>
      <c r="B153" s="587" t="s">
        <v>743</v>
      </c>
      <c r="C153" s="611">
        <v>40</v>
      </c>
      <c r="D153" s="610">
        <v>46</v>
      </c>
      <c r="E153" s="607">
        <f t="shared" si="17"/>
        <v>6</v>
      </c>
    </row>
    <row r="154" spans="1:5" s="421" customFormat="1" x14ac:dyDescent="0.2">
      <c r="A154" s="588">
        <v>6</v>
      </c>
      <c r="B154" s="587" t="s">
        <v>424</v>
      </c>
      <c r="C154" s="610">
        <v>154</v>
      </c>
      <c r="D154" s="610">
        <v>129</v>
      </c>
      <c r="E154" s="607">
        <f t="shared" si="17"/>
        <v>-25</v>
      </c>
    </row>
    <row r="155" spans="1:5" s="421" customFormat="1" x14ac:dyDescent="0.2">
      <c r="A155" s="588">
        <v>7</v>
      </c>
      <c r="B155" s="587" t="s">
        <v>758</v>
      </c>
      <c r="C155" s="610">
        <v>93</v>
      </c>
      <c r="D155" s="610">
        <v>61</v>
      </c>
      <c r="E155" s="607">
        <f t="shared" si="17"/>
        <v>-32</v>
      </c>
    </row>
    <row r="156" spans="1:5" s="421" customFormat="1" x14ac:dyDescent="0.2">
      <c r="A156" s="588"/>
      <c r="B156" s="592" t="s">
        <v>808</v>
      </c>
      <c r="C156" s="608">
        <f>SUM(C150+C151+C154)</f>
        <v>29018</v>
      </c>
      <c r="D156" s="608">
        <f>SUM(D150+D151+D154)</f>
        <v>28160</v>
      </c>
      <c r="E156" s="609">
        <f t="shared" si="17"/>
        <v>-858</v>
      </c>
    </row>
    <row r="157" spans="1:5" s="421" customFormat="1" x14ac:dyDescent="0.2">
      <c r="A157" s="588"/>
      <c r="B157" s="592" t="s">
        <v>140</v>
      </c>
      <c r="C157" s="608">
        <f>SUM(C149+C156)</f>
        <v>38384</v>
      </c>
      <c r="D157" s="608">
        <f>SUM(D149+D156)</f>
        <v>37746</v>
      </c>
      <c r="E157" s="609">
        <f t="shared" si="17"/>
        <v>-638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3.7539078156312624</v>
      </c>
      <c r="D161" s="612">
        <f t="shared" si="18"/>
        <v>3.6629728696981276</v>
      </c>
      <c r="E161" s="613">
        <f t="shared" ref="E161:E169" si="19">D161-C161</f>
        <v>-9.0934945933134781E-2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4.8123123123123124</v>
      </c>
      <c r="D162" s="612">
        <f t="shared" si="18"/>
        <v>4.6333084391336818</v>
      </c>
      <c r="E162" s="613">
        <f t="shared" si="19"/>
        <v>-0.17900387317863053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4.1669550173010377</v>
      </c>
      <c r="D163" s="612">
        <f t="shared" si="18"/>
        <v>3.9147963424771404</v>
      </c>
      <c r="E163" s="613">
        <f t="shared" si="19"/>
        <v>-0.25215867482389731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4.1713043478260872</v>
      </c>
      <c r="D164" s="612">
        <f t="shared" si="18"/>
        <v>3.9152046783625729</v>
      </c>
      <c r="E164" s="613">
        <f t="shared" si="19"/>
        <v>-0.25609966946351426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3.3333333333333335</v>
      </c>
      <c r="D165" s="612">
        <f t="shared" si="18"/>
        <v>3.8333333333333335</v>
      </c>
      <c r="E165" s="613">
        <f t="shared" si="19"/>
        <v>0.5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3.5813953488372094</v>
      </c>
      <c r="D166" s="612">
        <f t="shared" si="18"/>
        <v>3.3076923076923075</v>
      </c>
      <c r="E166" s="613">
        <f t="shared" si="19"/>
        <v>-0.27370304114490196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4.4285714285714288</v>
      </c>
      <c r="D167" s="612">
        <f t="shared" si="18"/>
        <v>2.7727272727272729</v>
      </c>
      <c r="E167" s="613">
        <f t="shared" si="19"/>
        <v>-1.6558441558441559</v>
      </c>
    </row>
    <row r="168" spans="1:5" s="421" customFormat="1" x14ac:dyDescent="0.2">
      <c r="A168" s="588"/>
      <c r="B168" s="592" t="s">
        <v>810</v>
      </c>
      <c r="C168" s="614">
        <f t="shared" si="18"/>
        <v>4.5690442450007875</v>
      </c>
      <c r="D168" s="614">
        <f t="shared" si="18"/>
        <v>4.3577839678118231</v>
      </c>
      <c r="E168" s="615">
        <f t="shared" si="19"/>
        <v>-0.21126027718896445</v>
      </c>
    </row>
    <row r="169" spans="1:5" s="421" customFormat="1" x14ac:dyDescent="0.2">
      <c r="A169" s="588"/>
      <c r="B169" s="592" t="s">
        <v>744</v>
      </c>
      <c r="C169" s="614">
        <f t="shared" si="18"/>
        <v>4.3391363328057881</v>
      </c>
      <c r="D169" s="614">
        <f t="shared" si="18"/>
        <v>4.1575063332966185</v>
      </c>
      <c r="E169" s="615">
        <f t="shared" si="19"/>
        <v>-0.18162999950916969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1.3859999999999999</v>
      </c>
      <c r="D173" s="617">
        <f t="shared" si="20"/>
        <v>1.3859999999999999</v>
      </c>
      <c r="E173" s="618">
        <f t="shared" ref="E173:E181" si="21">D173-C173</f>
        <v>0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1.6297999999999999</v>
      </c>
      <c r="D174" s="617">
        <f t="shared" si="20"/>
        <v>1.6897</v>
      </c>
      <c r="E174" s="618">
        <f t="shared" si="21"/>
        <v>5.9900000000000064E-2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1.432054152249135</v>
      </c>
      <c r="D175" s="617">
        <f t="shared" si="20"/>
        <v>1.4103331670822943</v>
      </c>
      <c r="E175" s="618">
        <f t="shared" si="21"/>
        <v>-2.1720985166840734E-2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1.4349000000000001</v>
      </c>
      <c r="D176" s="617">
        <f t="shared" si="20"/>
        <v>1.4126000000000001</v>
      </c>
      <c r="E176" s="618">
        <f t="shared" si="21"/>
        <v>-2.2299999999999986E-2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0.88660000000000005</v>
      </c>
      <c r="D177" s="617">
        <f t="shared" si="20"/>
        <v>0.95809999999999995</v>
      </c>
      <c r="E177" s="618">
        <f t="shared" si="21"/>
        <v>7.1499999999999897E-2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1.1761999999999999</v>
      </c>
      <c r="D178" s="617">
        <f t="shared" si="20"/>
        <v>1.2506999999999999</v>
      </c>
      <c r="E178" s="618">
        <f t="shared" si="21"/>
        <v>7.4500000000000011E-2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1.2554000000000001</v>
      </c>
      <c r="D179" s="617">
        <f t="shared" si="20"/>
        <v>1.4881</v>
      </c>
      <c r="E179" s="618">
        <f t="shared" si="21"/>
        <v>0.23269999999999991</v>
      </c>
    </row>
    <row r="180" spans="1:5" s="421" customFormat="1" x14ac:dyDescent="0.2">
      <c r="A180" s="588"/>
      <c r="B180" s="592" t="s">
        <v>812</v>
      </c>
      <c r="C180" s="619">
        <f t="shared" si="20"/>
        <v>1.554742024877972</v>
      </c>
      <c r="D180" s="619">
        <f t="shared" si="20"/>
        <v>1.583033704735376</v>
      </c>
      <c r="E180" s="620">
        <f t="shared" si="21"/>
        <v>2.8291679857403995E-2</v>
      </c>
    </row>
    <row r="181" spans="1:5" s="421" customFormat="1" x14ac:dyDescent="0.2">
      <c r="A181" s="588"/>
      <c r="B181" s="592" t="s">
        <v>723</v>
      </c>
      <c r="C181" s="619">
        <f t="shared" si="20"/>
        <v>1.5071486095410356</v>
      </c>
      <c r="D181" s="619">
        <f t="shared" si="20"/>
        <v>1.5262392113668906</v>
      </c>
      <c r="E181" s="620">
        <f t="shared" si="21"/>
        <v>1.909060182585498E-2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274937974</v>
      </c>
      <c r="D185" s="589">
        <v>319053572</v>
      </c>
      <c r="E185" s="590">
        <f>D185-C185</f>
        <v>44115598</v>
      </c>
    </row>
    <row r="186" spans="1:5" s="421" customFormat="1" ht="25.5" x14ac:dyDescent="0.2">
      <c r="A186" s="588">
        <v>2</v>
      </c>
      <c r="B186" s="587" t="s">
        <v>815</v>
      </c>
      <c r="C186" s="589">
        <v>152517292</v>
      </c>
      <c r="D186" s="589">
        <v>156608607</v>
      </c>
      <c r="E186" s="590">
        <f>D186-C186</f>
        <v>4091315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122420682</v>
      </c>
      <c r="D188" s="622">
        <f>+D185-D186</f>
        <v>162444965</v>
      </c>
      <c r="E188" s="590">
        <f t="shared" ref="E188:E197" si="22">D188-C188</f>
        <v>40024283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0.44526654582826014</v>
      </c>
      <c r="D189" s="623">
        <f>IF(D185=0,0,+D188/D185)</f>
        <v>0.50914636053659357</v>
      </c>
      <c r="E189" s="599">
        <f t="shared" si="22"/>
        <v>6.3879814708333427E-2</v>
      </c>
    </row>
    <row r="190" spans="1:5" s="421" customFormat="1" x14ac:dyDescent="0.2">
      <c r="A190" s="588">
        <v>5</v>
      </c>
      <c r="B190" s="587" t="s">
        <v>762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748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379861</v>
      </c>
      <c r="D193" s="589">
        <v>368086</v>
      </c>
      <c r="E193" s="622">
        <f t="shared" si="22"/>
        <v>-11775</v>
      </c>
    </row>
    <row r="194" spans="1:5" s="421" customFormat="1" x14ac:dyDescent="0.2">
      <c r="A194" s="588">
        <v>9</v>
      </c>
      <c r="B194" s="587" t="s">
        <v>818</v>
      </c>
      <c r="C194" s="589">
        <v>10621825</v>
      </c>
      <c r="D194" s="589">
        <v>5865466</v>
      </c>
      <c r="E194" s="622">
        <f t="shared" si="22"/>
        <v>-4756359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11001686</v>
      </c>
      <c r="D195" s="589">
        <f>+D193+D194</f>
        <v>6233552</v>
      </c>
      <c r="E195" s="625">
        <f t="shared" si="22"/>
        <v>-4768134</v>
      </c>
    </row>
    <row r="196" spans="1:5" s="421" customFormat="1" x14ac:dyDescent="0.2">
      <c r="A196" s="588">
        <v>11</v>
      </c>
      <c r="B196" s="587" t="s">
        <v>820</v>
      </c>
      <c r="C196" s="589">
        <v>22955416</v>
      </c>
      <c r="D196" s="589">
        <v>26710445</v>
      </c>
      <c r="E196" s="622">
        <f t="shared" si="22"/>
        <v>3755029</v>
      </c>
    </row>
    <row r="197" spans="1:5" s="421" customFormat="1" x14ac:dyDescent="0.2">
      <c r="A197" s="588">
        <v>12</v>
      </c>
      <c r="B197" s="587" t="s">
        <v>710</v>
      </c>
      <c r="C197" s="589">
        <v>340779258</v>
      </c>
      <c r="D197" s="589">
        <v>373828923</v>
      </c>
      <c r="E197" s="622">
        <f t="shared" si="22"/>
        <v>33049665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3458.0699999999997</v>
      </c>
      <c r="D203" s="629">
        <v>3627.1619999999998</v>
      </c>
      <c r="E203" s="630">
        <f t="shared" ref="E203:E211" si="23">D203-C203</f>
        <v>169.0920000000001</v>
      </c>
    </row>
    <row r="204" spans="1:5" s="421" customFormat="1" x14ac:dyDescent="0.2">
      <c r="A204" s="588">
        <v>2</v>
      </c>
      <c r="B204" s="587" t="s">
        <v>635</v>
      </c>
      <c r="C204" s="629">
        <v>6512.6808000000001</v>
      </c>
      <c r="D204" s="629">
        <v>6787.5249000000003</v>
      </c>
      <c r="E204" s="630">
        <f t="shared" si="23"/>
        <v>274.84410000000025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3310.9092000000001</v>
      </c>
      <c r="D205" s="629">
        <f>D206+D207</f>
        <v>3393.2615999999998</v>
      </c>
      <c r="E205" s="630">
        <f t="shared" si="23"/>
        <v>82.352399999999761</v>
      </c>
    </row>
    <row r="206" spans="1:5" s="421" customFormat="1" x14ac:dyDescent="0.2">
      <c r="A206" s="588">
        <v>4</v>
      </c>
      <c r="B206" s="587" t="s">
        <v>115</v>
      </c>
      <c r="C206" s="629">
        <v>3300.27</v>
      </c>
      <c r="D206" s="629">
        <v>3381.7644</v>
      </c>
      <c r="E206" s="630">
        <f t="shared" si="23"/>
        <v>81.494400000000041</v>
      </c>
    </row>
    <row r="207" spans="1:5" s="421" customFormat="1" x14ac:dyDescent="0.2">
      <c r="A207" s="588">
        <v>5</v>
      </c>
      <c r="B207" s="587" t="s">
        <v>743</v>
      </c>
      <c r="C207" s="629">
        <v>10.639200000000001</v>
      </c>
      <c r="D207" s="629">
        <v>11.497199999999999</v>
      </c>
      <c r="E207" s="630">
        <f t="shared" si="23"/>
        <v>0.85799999999999876</v>
      </c>
    </row>
    <row r="208" spans="1:5" s="421" customFormat="1" x14ac:dyDescent="0.2">
      <c r="A208" s="588">
        <v>6</v>
      </c>
      <c r="B208" s="587" t="s">
        <v>424</v>
      </c>
      <c r="C208" s="629">
        <v>50.576599999999999</v>
      </c>
      <c r="D208" s="629">
        <v>48.777299999999997</v>
      </c>
      <c r="E208" s="630">
        <f t="shared" si="23"/>
        <v>-1.7993000000000023</v>
      </c>
    </row>
    <row r="209" spans="1:5" s="421" customFormat="1" x14ac:dyDescent="0.2">
      <c r="A209" s="588">
        <v>7</v>
      </c>
      <c r="B209" s="587" t="s">
        <v>758</v>
      </c>
      <c r="C209" s="629">
        <v>26.363400000000002</v>
      </c>
      <c r="D209" s="629">
        <v>32.738199999999999</v>
      </c>
      <c r="E209" s="630">
        <f t="shared" si="23"/>
        <v>6.3747999999999969</v>
      </c>
    </row>
    <row r="210" spans="1:5" s="421" customFormat="1" x14ac:dyDescent="0.2">
      <c r="A210" s="588"/>
      <c r="B210" s="592" t="s">
        <v>823</v>
      </c>
      <c r="C210" s="631">
        <f>C204+C205+C208</f>
        <v>9874.1666000000005</v>
      </c>
      <c r="D210" s="631">
        <f>D204+D205+D208</f>
        <v>10229.5638</v>
      </c>
      <c r="E210" s="632">
        <f t="shared" si="23"/>
        <v>355.39719999999943</v>
      </c>
    </row>
    <row r="211" spans="1:5" s="421" customFormat="1" x14ac:dyDescent="0.2">
      <c r="A211" s="588"/>
      <c r="B211" s="592" t="s">
        <v>724</v>
      </c>
      <c r="C211" s="631">
        <f>C210+C203</f>
        <v>13332.2366</v>
      </c>
      <c r="D211" s="631">
        <f>D210+D203</f>
        <v>13856.7258</v>
      </c>
      <c r="E211" s="632">
        <f t="shared" si="23"/>
        <v>524.48919999999998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7346.0424131260907</v>
      </c>
      <c r="D215" s="633">
        <f>IF(D14*D137=0,0,D25/D14*D137)</f>
        <v>8185.1787710178742</v>
      </c>
      <c r="E215" s="633">
        <f t="shared" ref="E215:E223" si="24">D215-C215</f>
        <v>839.13635789178352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4049.6355073397453</v>
      </c>
      <c r="D216" s="633">
        <f>IF(D15*D138=0,0,D26/D15*D138)</f>
        <v>4540.1789193799286</v>
      </c>
      <c r="E216" s="633">
        <f t="shared" si="24"/>
        <v>490.54341204018328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3360.061889210715</v>
      </c>
      <c r="D217" s="633">
        <f>D218+D219</f>
        <v>3807.4657632496956</v>
      </c>
      <c r="E217" s="633">
        <f t="shared" si="24"/>
        <v>447.40387403898058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3353.6961043457504</v>
      </c>
      <c r="D218" s="633">
        <f t="shared" si="25"/>
        <v>3798.1774090869649</v>
      </c>
      <c r="E218" s="633">
        <f t="shared" si="24"/>
        <v>444.48130474121444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6.3657848649645139</v>
      </c>
      <c r="D219" s="633">
        <f t="shared" si="25"/>
        <v>9.2883541627305863</v>
      </c>
      <c r="E219" s="633">
        <f t="shared" si="24"/>
        <v>2.9225692977660724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147.52948025059524</v>
      </c>
      <c r="D220" s="633">
        <f t="shared" si="25"/>
        <v>131.41369440218793</v>
      </c>
      <c r="E220" s="633">
        <f t="shared" si="24"/>
        <v>-16.115785848407313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101.57764830953013</v>
      </c>
      <c r="D221" s="633">
        <f t="shared" si="25"/>
        <v>191.45768159621548</v>
      </c>
      <c r="E221" s="633">
        <f t="shared" si="24"/>
        <v>89.880033286685347</v>
      </c>
    </row>
    <row r="222" spans="1:5" s="421" customFormat="1" x14ac:dyDescent="0.2">
      <c r="A222" s="588"/>
      <c r="B222" s="592" t="s">
        <v>825</v>
      </c>
      <c r="C222" s="634">
        <f>C216+C218+C219+C220</f>
        <v>7557.2268768010554</v>
      </c>
      <c r="D222" s="634">
        <f>D216+D218+D219+D220</f>
        <v>8479.0583770318117</v>
      </c>
      <c r="E222" s="634">
        <f t="shared" si="24"/>
        <v>921.83150023075632</v>
      </c>
    </row>
    <row r="223" spans="1:5" s="421" customFormat="1" x14ac:dyDescent="0.2">
      <c r="A223" s="588"/>
      <c r="B223" s="592" t="s">
        <v>826</v>
      </c>
      <c r="C223" s="634">
        <f>C215+C222</f>
        <v>14903.269289927146</v>
      </c>
      <c r="D223" s="634">
        <f>D215+D222</f>
        <v>16664.237148049688</v>
      </c>
      <c r="E223" s="634">
        <f t="shared" si="24"/>
        <v>1760.9678581225417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11362.373809668399</v>
      </c>
      <c r="D227" s="636">
        <f t="shared" si="26"/>
        <v>10934.036858568767</v>
      </c>
      <c r="E227" s="636">
        <f t="shared" ref="E227:E235" si="27">D227-C227</f>
        <v>-428.33695109963264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11867.748992089402</v>
      </c>
      <c r="D228" s="636">
        <f t="shared" si="26"/>
        <v>11752.326241926567</v>
      </c>
      <c r="E228" s="636">
        <f t="shared" si="27"/>
        <v>-115.42275016283565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8118.5171130636863</v>
      </c>
      <c r="D229" s="636">
        <f t="shared" si="26"/>
        <v>8969.3738908901105</v>
      </c>
      <c r="E229" s="636">
        <f t="shared" si="27"/>
        <v>850.85677782642415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8132.9360931075335</v>
      </c>
      <c r="D230" s="636">
        <f t="shared" si="26"/>
        <v>8989.5055965459924</v>
      </c>
      <c r="E230" s="636">
        <f t="shared" si="27"/>
        <v>856.56950343845892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3645.7628393112263</v>
      </c>
      <c r="D231" s="636">
        <f t="shared" si="26"/>
        <v>3047.8725254844658</v>
      </c>
      <c r="E231" s="636">
        <f t="shared" si="27"/>
        <v>-597.89031382676058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7334.0438068197545</v>
      </c>
      <c r="D232" s="636">
        <f t="shared" si="26"/>
        <v>8257.7551442986805</v>
      </c>
      <c r="E232" s="636">
        <f t="shared" si="27"/>
        <v>923.711337478926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5867.9457126167335</v>
      </c>
      <c r="D233" s="636">
        <f t="shared" si="26"/>
        <v>3910.2943961488413</v>
      </c>
      <c r="E233" s="636">
        <f t="shared" si="27"/>
        <v>-1957.6513164678922</v>
      </c>
    </row>
    <row r="234" spans="1:5" x14ac:dyDescent="0.2">
      <c r="A234" s="588"/>
      <c r="B234" s="592" t="s">
        <v>828</v>
      </c>
      <c r="C234" s="637">
        <f t="shared" si="26"/>
        <v>10587.370988858947</v>
      </c>
      <c r="D234" s="637">
        <f t="shared" si="26"/>
        <v>10812.526532167481</v>
      </c>
      <c r="E234" s="637">
        <f t="shared" si="27"/>
        <v>225.15554330853411</v>
      </c>
    </row>
    <row r="235" spans="1:5" s="421" customFormat="1" x14ac:dyDescent="0.2">
      <c r="A235" s="588"/>
      <c r="B235" s="592" t="s">
        <v>829</v>
      </c>
      <c r="C235" s="637">
        <f t="shared" si="26"/>
        <v>10788.388573902146</v>
      </c>
      <c r="D235" s="637">
        <f t="shared" si="26"/>
        <v>10844.33329841888</v>
      </c>
      <c r="E235" s="637">
        <f t="shared" si="27"/>
        <v>55.944724516733913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15530.263315135284</v>
      </c>
      <c r="D239" s="636">
        <f t="shared" si="28"/>
        <v>14397.017132631991</v>
      </c>
      <c r="E239" s="638">
        <f t="shared" ref="E239:E247" si="29">D239-C239</f>
        <v>-1133.2461825032933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11729.41587308514</v>
      </c>
      <c r="D240" s="636">
        <f t="shared" si="28"/>
        <v>11036.444133537227</v>
      </c>
      <c r="E240" s="638">
        <f t="shared" si="29"/>
        <v>-692.97173954791288</v>
      </c>
    </row>
    <row r="241" spans="1:5" x14ac:dyDescent="0.2">
      <c r="A241" s="588">
        <v>3</v>
      </c>
      <c r="B241" s="587" t="s">
        <v>777</v>
      </c>
      <c r="C241" s="636">
        <f t="shared" si="28"/>
        <v>10951.819107309391</v>
      </c>
      <c r="D241" s="636">
        <f t="shared" si="28"/>
        <v>10150.734216192453</v>
      </c>
      <c r="E241" s="638">
        <f t="shared" si="29"/>
        <v>-801.0848911169378</v>
      </c>
    </row>
    <row r="242" spans="1:5" x14ac:dyDescent="0.2">
      <c r="A242" s="588">
        <v>4</v>
      </c>
      <c r="B242" s="587" t="s">
        <v>115</v>
      </c>
      <c r="C242" s="636">
        <f t="shared" si="28"/>
        <v>10956.829974064838</v>
      </c>
      <c r="D242" s="636">
        <f t="shared" si="28"/>
        <v>10173.31336539348</v>
      </c>
      <c r="E242" s="638">
        <f t="shared" si="29"/>
        <v>-783.51660867135797</v>
      </c>
    </row>
    <row r="243" spans="1:5" x14ac:dyDescent="0.2">
      <c r="A243" s="588">
        <v>5</v>
      </c>
      <c r="B243" s="587" t="s">
        <v>743</v>
      </c>
      <c r="C243" s="636">
        <f t="shared" si="28"/>
        <v>8311.9365675099598</v>
      </c>
      <c r="D243" s="636">
        <f t="shared" si="28"/>
        <v>917.7083313858177</v>
      </c>
      <c r="E243" s="638">
        <f t="shared" si="29"/>
        <v>-7394.2282361241423</v>
      </c>
    </row>
    <row r="244" spans="1:5" x14ac:dyDescent="0.2">
      <c r="A244" s="588">
        <v>6</v>
      </c>
      <c r="B244" s="587" t="s">
        <v>424</v>
      </c>
      <c r="C244" s="636">
        <f t="shared" si="28"/>
        <v>6694.4789497149686</v>
      </c>
      <c r="D244" s="636">
        <f t="shared" si="28"/>
        <v>6703.768614128031</v>
      </c>
      <c r="E244" s="638">
        <f t="shared" si="29"/>
        <v>9.2896644130623827</v>
      </c>
    </row>
    <row r="245" spans="1:5" x14ac:dyDescent="0.2">
      <c r="A245" s="588">
        <v>7</v>
      </c>
      <c r="B245" s="587" t="s">
        <v>758</v>
      </c>
      <c r="C245" s="636">
        <f t="shared" si="28"/>
        <v>6949.0287651577264</v>
      </c>
      <c r="D245" s="636">
        <f t="shared" si="28"/>
        <v>3995.9639833804549</v>
      </c>
      <c r="E245" s="638">
        <f t="shared" si="29"/>
        <v>-2953.0647817772715</v>
      </c>
    </row>
    <row r="246" spans="1:5" ht="25.5" x14ac:dyDescent="0.2">
      <c r="A246" s="588"/>
      <c r="B246" s="592" t="s">
        <v>831</v>
      </c>
      <c r="C246" s="637">
        <f t="shared" si="28"/>
        <v>11285.393887248407</v>
      </c>
      <c r="D246" s="637">
        <f t="shared" si="28"/>
        <v>10571.571395570272</v>
      </c>
      <c r="E246" s="639">
        <f t="shared" si="29"/>
        <v>-713.82249167813461</v>
      </c>
    </row>
    <row r="247" spans="1:5" x14ac:dyDescent="0.2">
      <c r="A247" s="588"/>
      <c r="B247" s="592" t="s">
        <v>832</v>
      </c>
      <c r="C247" s="637">
        <f t="shared" si="28"/>
        <v>13377.752969595213</v>
      </c>
      <c r="D247" s="637">
        <f t="shared" si="28"/>
        <v>12450.56273243702</v>
      </c>
      <c r="E247" s="639">
        <f t="shared" si="29"/>
        <v>-927.19023715819276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2591018.3198168441</v>
      </c>
      <c r="D251" s="622">
        <f>((IF((IF(D15=0,0,D26/D15)*D138)=0,0,D59/(IF(D15=0,0,D26/D15)*D138)))-(IF((IF(D17=0,0,D28/D17)*D140)=0,0,D61/(IF(D17=0,0,D28/D17)*D140))))*(IF(D17=0,0,D28/D17)*D140)</f>
        <v>3278323.7846514569</v>
      </c>
      <c r="E251" s="622">
        <f>D251-C251</f>
        <v>687305.46483461279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109230.29311639749</v>
      </c>
      <c r="D252" s="622">
        <f>IF(D231=0,0,(D228-D231)*D207)+IF(D243=0,0,(D240-D243)*D219)</f>
        <v>194063.24707816218</v>
      </c>
      <c r="E252" s="622">
        <f>D252-C252</f>
        <v>84832.953961764695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643755.69421051245</v>
      </c>
      <c r="D253" s="622">
        <f>IF(D233=0,0,(D228-D233)*D209+IF(D221=0,0,(D240-D245)*D221))</f>
        <v>1604688.0138466309</v>
      </c>
      <c r="E253" s="622">
        <f>D253-C253</f>
        <v>960932.31963611848</v>
      </c>
    </row>
    <row r="254" spans="1:5" ht="15" customHeight="1" x14ac:dyDescent="0.2">
      <c r="A254" s="588"/>
      <c r="B254" s="592" t="s">
        <v>759</v>
      </c>
      <c r="C254" s="640">
        <f>+C251+C252+C253</f>
        <v>3344004.3071437543</v>
      </c>
      <c r="D254" s="640">
        <f>+D251+D252+D253</f>
        <v>5077075.0455762502</v>
      </c>
      <c r="E254" s="640">
        <f>D254-C254</f>
        <v>1733070.7384324959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764177041</v>
      </c>
      <c r="D258" s="625">
        <f>+D44</f>
        <v>871015210</v>
      </c>
      <c r="E258" s="622">
        <f t="shared" ref="E258:E271" si="30">D258-C258</f>
        <v>106838169</v>
      </c>
    </row>
    <row r="259" spans="1:5" x14ac:dyDescent="0.2">
      <c r="A259" s="588">
        <v>2</v>
      </c>
      <c r="B259" s="587" t="s">
        <v>742</v>
      </c>
      <c r="C259" s="622">
        <f>+(C43-C76)</f>
        <v>296073053</v>
      </c>
      <c r="D259" s="625">
        <f>+(D43-D76)</f>
        <v>347648034</v>
      </c>
      <c r="E259" s="622">
        <f t="shared" si="30"/>
        <v>51574981</v>
      </c>
    </row>
    <row r="260" spans="1:5" x14ac:dyDescent="0.2">
      <c r="A260" s="588">
        <v>3</v>
      </c>
      <c r="B260" s="587" t="s">
        <v>746</v>
      </c>
      <c r="C260" s="622">
        <f>C195</f>
        <v>11001686</v>
      </c>
      <c r="D260" s="622">
        <f>D195</f>
        <v>6233552</v>
      </c>
      <c r="E260" s="622">
        <f t="shared" si="30"/>
        <v>-4768134</v>
      </c>
    </row>
    <row r="261" spans="1:5" x14ac:dyDescent="0.2">
      <c r="A261" s="588">
        <v>4</v>
      </c>
      <c r="B261" s="587" t="s">
        <v>747</v>
      </c>
      <c r="C261" s="622">
        <f>C188</f>
        <v>122420682</v>
      </c>
      <c r="D261" s="622">
        <f>D188</f>
        <v>162444965</v>
      </c>
      <c r="E261" s="622">
        <f t="shared" si="30"/>
        <v>40024283</v>
      </c>
    </row>
    <row r="262" spans="1:5" x14ac:dyDescent="0.2">
      <c r="A262" s="588">
        <v>5</v>
      </c>
      <c r="B262" s="587" t="s">
        <v>748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749</v>
      </c>
      <c r="C263" s="622">
        <f>+C259+C260+C261+C262</f>
        <v>429495421</v>
      </c>
      <c r="D263" s="622">
        <f>+D259+D260+D261+D262</f>
        <v>516326551</v>
      </c>
      <c r="E263" s="622">
        <f t="shared" si="30"/>
        <v>86831130</v>
      </c>
    </row>
    <row r="264" spans="1:5" x14ac:dyDescent="0.2">
      <c r="A264" s="588">
        <v>7</v>
      </c>
      <c r="B264" s="587" t="s">
        <v>654</v>
      </c>
      <c r="C264" s="622">
        <f>+C258-C263</f>
        <v>334681620</v>
      </c>
      <c r="D264" s="622">
        <f>+D258-D263</f>
        <v>354688659</v>
      </c>
      <c r="E264" s="622">
        <f t="shared" si="30"/>
        <v>20007039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334681620</v>
      </c>
      <c r="D266" s="622">
        <f>+D264+D265</f>
        <v>354688659</v>
      </c>
      <c r="E266" s="641">
        <f t="shared" si="30"/>
        <v>20007039</v>
      </c>
    </row>
    <row r="267" spans="1:5" x14ac:dyDescent="0.2">
      <c r="A267" s="588">
        <v>10</v>
      </c>
      <c r="B267" s="587" t="s">
        <v>837</v>
      </c>
      <c r="C267" s="642">
        <f>IF(C258=0,0,C266/C258)</f>
        <v>0.43796345878441539</v>
      </c>
      <c r="D267" s="642">
        <f>IF(D258=0,0,D266/D258)</f>
        <v>0.40721293374429135</v>
      </c>
      <c r="E267" s="643">
        <f t="shared" si="30"/>
        <v>-3.0750525040124044E-2</v>
      </c>
    </row>
    <row r="268" spans="1:5" x14ac:dyDescent="0.2">
      <c r="A268" s="588">
        <v>11</v>
      </c>
      <c r="B268" s="587" t="s">
        <v>716</v>
      </c>
      <c r="C268" s="622">
        <f>+C260*C267</f>
        <v>4818336.45302008</v>
      </c>
      <c r="D268" s="644">
        <f>+D260*D267</f>
        <v>2538382.997567595</v>
      </c>
      <c r="E268" s="622">
        <f t="shared" si="30"/>
        <v>-2279953.455452485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13678403.444760576</v>
      </c>
      <c r="D269" s="644">
        <f>((D17+D18+D28+D29)*D267)-(D50+D51+D61+D62)</f>
        <v>11390582.853240833</v>
      </c>
      <c r="E269" s="622">
        <f t="shared" si="30"/>
        <v>-2287820.5915197432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18496739.897780657</v>
      </c>
      <c r="D271" s="622">
        <f>+D268+D269+D270</f>
        <v>13928965.850808427</v>
      </c>
      <c r="E271" s="625">
        <f t="shared" si="30"/>
        <v>-4567774.0469722301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0.55692572463845147</v>
      </c>
      <c r="D276" s="623">
        <f t="shared" si="31"/>
        <v>0.50662609368073686</v>
      </c>
      <c r="E276" s="650">
        <f t="shared" ref="E276:E284" si="32">D276-C276</f>
        <v>-5.0299630957714614E-2</v>
      </c>
    </row>
    <row r="277" spans="1:5" x14ac:dyDescent="0.2">
      <c r="A277" s="588">
        <v>2</v>
      </c>
      <c r="B277" s="587" t="s">
        <v>635</v>
      </c>
      <c r="C277" s="623">
        <f t="shared" si="31"/>
        <v>0.50971432535065009</v>
      </c>
      <c r="D277" s="623">
        <f t="shared" si="31"/>
        <v>0.49070724603103888</v>
      </c>
      <c r="E277" s="650">
        <f t="shared" si="32"/>
        <v>-1.9007079319611209E-2</v>
      </c>
    </row>
    <row r="278" spans="1:5" x14ac:dyDescent="0.2">
      <c r="A278" s="588">
        <v>3</v>
      </c>
      <c r="B278" s="587" t="s">
        <v>777</v>
      </c>
      <c r="C278" s="623">
        <f t="shared" si="31"/>
        <v>0.37344434157002077</v>
      </c>
      <c r="D278" s="623">
        <f t="shared" si="31"/>
        <v>0.39793996198240034</v>
      </c>
      <c r="E278" s="650">
        <f t="shared" si="32"/>
        <v>2.4495620412379571E-2</v>
      </c>
    </row>
    <row r="279" spans="1:5" x14ac:dyDescent="0.2">
      <c r="A279" s="588">
        <v>4</v>
      </c>
      <c r="B279" s="587" t="s">
        <v>115</v>
      </c>
      <c r="C279" s="623">
        <f t="shared" si="31"/>
        <v>0.37459932173520522</v>
      </c>
      <c r="D279" s="623">
        <f t="shared" si="31"/>
        <v>0.39877886034792615</v>
      </c>
      <c r="E279" s="650">
        <f t="shared" si="32"/>
        <v>2.417953861272093E-2</v>
      </c>
    </row>
    <row r="280" spans="1:5" x14ac:dyDescent="0.2">
      <c r="A280" s="588">
        <v>5</v>
      </c>
      <c r="B280" s="587" t="s">
        <v>743</v>
      </c>
      <c r="C280" s="623">
        <f t="shared" si="31"/>
        <v>0.11917534642209728</v>
      </c>
      <c r="D280" s="623">
        <f t="shared" si="31"/>
        <v>0.14086273500906471</v>
      </c>
      <c r="E280" s="650">
        <f t="shared" si="32"/>
        <v>2.1687388586967435E-2</v>
      </c>
    </row>
    <row r="281" spans="1:5" x14ac:dyDescent="0.2">
      <c r="A281" s="588">
        <v>6</v>
      </c>
      <c r="B281" s="587" t="s">
        <v>424</v>
      </c>
      <c r="C281" s="623">
        <f t="shared" si="31"/>
        <v>0.41445313853019422</v>
      </c>
      <c r="D281" s="623">
        <f t="shared" si="31"/>
        <v>0.44241112862391468</v>
      </c>
      <c r="E281" s="650">
        <f t="shared" si="32"/>
        <v>2.7957990093720464E-2</v>
      </c>
    </row>
    <row r="282" spans="1:5" x14ac:dyDescent="0.2">
      <c r="A282" s="588">
        <v>7</v>
      </c>
      <c r="B282" s="587" t="s">
        <v>758</v>
      </c>
      <c r="C282" s="623">
        <f t="shared" si="31"/>
        <v>0.27049441172767841</v>
      </c>
      <c r="D282" s="623">
        <f t="shared" si="31"/>
        <v>0.30524187395086222</v>
      </c>
      <c r="E282" s="650">
        <f t="shared" si="32"/>
        <v>3.4747462223183812E-2</v>
      </c>
    </row>
    <row r="283" spans="1:5" ht="29.25" customHeight="1" x14ac:dyDescent="0.2">
      <c r="A283" s="588"/>
      <c r="B283" s="592" t="s">
        <v>844</v>
      </c>
      <c r="C283" s="651">
        <f t="shared" si="31"/>
        <v>0.46564620754852348</v>
      </c>
      <c r="D283" s="651">
        <f t="shared" si="31"/>
        <v>0.46095535915981067</v>
      </c>
      <c r="E283" s="652">
        <f t="shared" si="32"/>
        <v>-4.6908483887128094E-3</v>
      </c>
    </row>
    <row r="284" spans="1:5" x14ac:dyDescent="0.2">
      <c r="A284" s="588"/>
      <c r="B284" s="592" t="s">
        <v>845</v>
      </c>
      <c r="C284" s="651">
        <f t="shared" si="31"/>
        <v>0.48747194580899578</v>
      </c>
      <c r="D284" s="651">
        <f t="shared" si="31"/>
        <v>0.47218978908830639</v>
      </c>
      <c r="E284" s="652">
        <f t="shared" si="32"/>
        <v>-1.5282156720689388E-2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0.54921677618630238</v>
      </c>
      <c r="D287" s="623">
        <f t="shared" si="33"/>
        <v>0.4813004989700832</v>
      </c>
      <c r="E287" s="650">
        <f t="shared" ref="E287:E295" si="34">D287-C287</f>
        <v>-6.7916277216219179E-2</v>
      </c>
    </row>
    <row r="288" spans="1:5" x14ac:dyDescent="0.2">
      <c r="A288" s="588">
        <v>2</v>
      </c>
      <c r="B288" s="587" t="s">
        <v>635</v>
      </c>
      <c r="C288" s="623">
        <f t="shared" si="33"/>
        <v>0.30910110561238496</v>
      </c>
      <c r="D288" s="623">
        <f t="shared" si="33"/>
        <v>0.27272075927479772</v>
      </c>
      <c r="E288" s="650">
        <f t="shared" si="34"/>
        <v>-3.6380346337587244E-2</v>
      </c>
    </row>
    <row r="289" spans="1:5" x14ac:dyDescent="0.2">
      <c r="A289" s="588">
        <v>3</v>
      </c>
      <c r="B289" s="587" t="s">
        <v>777</v>
      </c>
      <c r="C289" s="623">
        <f t="shared" si="33"/>
        <v>0.35163388617603769</v>
      </c>
      <c r="D289" s="623">
        <f t="shared" si="33"/>
        <v>0.3190395134584173</v>
      </c>
      <c r="E289" s="650">
        <f t="shared" si="34"/>
        <v>-3.259437271762039E-2</v>
      </c>
    </row>
    <row r="290" spans="1:5" x14ac:dyDescent="0.2">
      <c r="A290" s="588">
        <v>4</v>
      </c>
      <c r="B290" s="587" t="s">
        <v>115</v>
      </c>
      <c r="C290" s="623">
        <f t="shared" si="33"/>
        <v>0.35170854002396368</v>
      </c>
      <c r="D290" s="623">
        <f t="shared" si="33"/>
        <v>0.31947695834476353</v>
      </c>
      <c r="E290" s="650">
        <f t="shared" si="34"/>
        <v>-3.223158167920015E-2</v>
      </c>
    </row>
    <row r="291" spans="1:5" x14ac:dyDescent="0.2">
      <c r="A291" s="588">
        <v>5</v>
      </c>
      <c r="B291" s="587" t="s">
        <v>743</v>
      </c>
      <c r="C291" s="623">
        <f t="shared" si="33"/>
        <v>0.30645908627560003</v>
      </c>
      <c r="D291" s="623">
        <f t="shared" si="33"/>
        <v>4.4268331316572582E-2</v>
      </c>
      <c r="E291" s="650">
        <f t="shared" si="34"/>
        <v>-0.26219075495902744</v>
      </c>
    </row>
    <row r="292" spans="1:5" x14ac:dyDescent="0.2">
      <c r="A292" s="588">
        <v>6</v>
      </c>
      <c r="B292" s="587" t="s">
        <v>424</v>
      </c>
      <c r="C292" s="623">
        <f t="shared" si="33"/>
        <v>0.32163813727067442</v>
      </c>
      <c r="D292" s="623">
        <f t="shared" si="33"/>
        <v>0.28716394285321267</v>
      </c>
      <c r="E292" s="650">
        <f t="shared" si="34"/>
        <v>-3.4474194417461745E-2</v>
      </c>
    </row>
    <row r="293" spans="1:5" x14ac:dyDescent="0.2">
      <c r="A293" s="588">
        <v>7</v>
      </c>
      <c r="B293" s="587" t="s">
        <v>758</v>
      </c>
      <c r="C293" s="623">
        <f t="shared" si="33"/>
        <v>0.25516094096349135</v>
      </c>
      <c r="D293" s="623">
        <f t="shared" si="33"/>
        <v>0.20961584301648578</v>
      </c>
      <c r="E293" s="650">
        <f t="shared" si="34"/>
        <v>-4.5545097947005564E-2</v>
      </c>
    </row>
    <row r="294" spans="1:5" ht="29.25" customHeight="1" x14ac:dyDescent="0.2">
      <c r="A294" s="588"/>
      <c r="B294" s="592" t="s">
        <v>847</v>
      </c>
      <c r="C294" s="651">
        <f t="shared" si="33"/>
        <v>0.32627676998297922</v>
      </c>
      <c r="D294" s="651">
        <f t="shared" si="33"/>
        <v>0.29108597344578818</v>
      </c>
      <c r="E294" s="652">
        <f t="shared" si="34"/>
        <v>-3.5190796537191038E-2</v>
      </c>
    </row>
    <row r="295" spans="1:5" x14ac:dyDescent="0.2">
      <c r="A295" s="588"/>
      <c r="B295" s="592" t="s">
        <v>848</v>
      </c>
      <c r="C295" s="651">
        <f t="shared" si="33"/>
        <v>0.42499446844097799</v>
      </c>
      <c r="D295" s="651">
        <f t="shared" si="33"/>
        <v>0.3753369539764666</v>
      </c>
      <c r="E295" s="652">
        <f t="shared" si="34"/>
        <v>-4.9657514464511388E-2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343205604</v>
      </c>
      <c r="D301" s="590">
        <f>+D48+D47+D50+D51+D52+D59+D58+D61+D62+D63</f>
        <v>357746083</v>
      </c>
      <c r="E301" s="590">
        <f>D301-C301</f>
        <v>14540479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343205604</v>
      </c>
      <c r="D303" s="593">
        <f>+D301+D302</f>
        <v>357746083</v>
      </c>
      <c r="E303" s="593">
        <f>D303-C303</f>
        <v>14540479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0</v>
      </c>
      <c r="D305" s="654">
        <v>0</v>
      </c>
      <c r="E305" s="655">
        <f>D305-C305</f>
        <v>0</v>
      </c>
    </row>
    <row r="306" spans="1:5" x14ac:dyDescent="0.2">
      <c r="A306" s="588">
        <v>4</v>
      </c>
      <c r="B306" s="592" t="s">
        <v>855</v>
      </c>
      <c r="C306" s="593">
        <f>+C303+C305+C194+C190-C191</f>
        <v>353827429</v>
      </c>
      <c r="D306" s="593">
        <f>+D303+D305</f>
        <v>357746083</v>
      </c>
      <c r="E306" s="656">
        <f>D306-C306</f>
        <v>3918654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343205604</v>
      </c>
      <c r="D308" s="589">
        <v>357746082</v>
      </c>
      <c r="E308" s="590">
        <f>D308-C308</f>
        <v>14540478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10621825</v>
      </c>
      <c r="D310" s="658">
        <f>D306-D308</f>
        <v>1</v>
      </c>
      <c r="E310" s="656">
        <f>D310-C310</f>
        <v>-10621824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764177041</v>
      </c>
      <c r="D314" s="590">
        <f>+D14+D15+D16+D19+D25+D26+D27+D30</f>
        <v>871015210</v>
      </c>
      <c r="E314" s="590">
        <f>D314-C314</f>
        <v>106838169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764177041</v>
      </c>
      <c r="D316" s="657">
        <f>D314+D315</f>
        <v>871015210</v>
      </c>
      <c r="E316" s="593">
        <f>D316-C316</f>
        <v>106838169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764177043</v>
      </c>
      <c r="D318" s="589">
        <v>871015211</v>
      </c>
      <c r="E318" s="590">
        <f>D318-C318</f>
        <v>106838168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-2</v>
      </c>
      <c r="D320" s="657">
        <f>D316-D318</f>
        <v>-1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11001686</v>
      </c>
      <c r="D324" s="589">
        <f>+D193+D194</f>
        <v>6233552</v>
      </c>
      <c r="E324" s="590">
        <f>D324-C324</f>
        <v>-4768134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11001686</v>
      </c>
      <c r="D326" s="657">
        <f>D324+D325</f>
        <v>6233552</v>
      </c>
      <c r="E326" s="593">
        <f>D326-C326</f>
        <v>-4768134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11001686</v>
      </c>
      <c r="D328" s="589">
        <v>6233552</v>
      </c>
      <c r="E328" s="590">
        <f>D328-C328</f>
        <v>-4768134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2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activeCell="B38" sqref="B38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78281643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162559668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76482472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76233705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248767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910445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419392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239952585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318234228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244841132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183731635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121140396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120947843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192553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3067819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3649810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307939850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552780982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323122775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547892435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871015210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39659523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79769207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30435432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30400390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35042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402791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128016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110607430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150266953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117842159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50107431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38648573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38640049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8524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880967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765058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89636971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207479130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157501682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200244401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357746083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2617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4017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2406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2394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12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6462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9079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1.3859999999999999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1.6897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1.4103331670822943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1.4126000000000001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0.95809999999999995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1.2506999999999999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1.4881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1.583033704735376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1.5262392113668906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319053572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156608607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162444965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0.50914636053659357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368086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5865466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6233552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26710445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373828923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357746083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357746083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357746083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357746082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871015210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871015210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871015211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6233552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6233552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6233552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38" sqref="B38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140</v>
      </c>
      <c r="D12" s="185">
        <v>109</v>
      </c>
      <c r="E12" s="185">
        <f>+D12-C12</f>
        <v>-31</v>
      </c>
      <c r="F12" s="77">
        <f>IF(C12=0,0,+E12/C12)</f>
        <v>-0.22142857142857142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91</v>
      </c>
      <c r="D13" s="185">
        <v>98</v>
      </c>
      <c r="E13" s="185">
        <f>+D13-C13</f>
        <v>7</v>
      </c>
      <c r="F13" s="77">
        <f>IF(C13=0,0,+E13/C13)</f>
        <v>7.6923076923076927E-2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379861</v>
      </c>
      <c r="D15" s="76">
        <v>368086</v>
      </c>
      <c r="E15" s="76">
        <f>+D15-C15</f>
        <v>-11775</v>
      </c>
      <c r="F15" s="77">
        <f>IF(C15=0,0,+E15/C15)</f>
        <v>-3.0998180913544691E-2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4174.2967032967035</v>
      </c>
      <c r="D16" s="79">
        <f>IF(D13=0,0,+D15/+D13)</f>
        <v>3755.9795918367345</v>
      </c>
      <c r="E16" s="79">
        <f>+D16-C16</f>
        <v>-418.31711145996906</v>
      </c>
      <c r="F16" s="80">
        <f>IF(C16=0,0,+E16/C16)</f>
        <v>-0.10021259656257732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0.47377000000000002</v>
      </c>
      <c r="D18" s="704">
        <v>0.43292799999999998</v>
      </c>
      <c r="E18" s="704">
        <f>+D18-C18</f>
        <v>-4.0842000000000045E-2</v>
      </c>
      <c r="F18" s="77">
        <f>IF(C18=0,0,+E18/C18)</f>
        <v>-8.6206387065453791E-2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179966.74597000002</v>
      </c>
      <c r="D19" s="79">
        <f>+D15*D18</f>
        <v>159354.735808</v>
      </c>
      <c r="E19" s="79">
        <f>+D19-C19</f>
        <v>-20612.010162000021</v>
      </c>
      <c r="F19" s="80">
        <f>IF(C19=0,0,+E19/C19)</f>
        <v>-0.1145323267968405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1977.6565491208794</v>
      </c>
      <c r="D20" s="79">
        <f>IF(D13=0,0,+D19/D13)</f>
        <v>1626.0687327346939</v>
      </c>
      <c r="E20" s="79">
        <f>+D20-C20</f>
        <v>-351.58781638618552</v>
      </c>
      <c r="F20" s="80">
        <f>IF(C20=0,0,+E20/C20)</f>
        <v>-0.17778001773992336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99312</v>
      </c>
      <c r="D22" s="76">
        <v>69559</v>
      </c>
      <c r="E22" s="76">
        <f>+D22-C22</f>
        <v>-29753</v>
      </c>
      <c r="F22" s="77">
        <f>IF(C22=0,0,+E22/C22)</f>
        <v>-0.2995911873690994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157023</v>
      </c>
      <c r="D23" s="185">
        <v>135521</v>
      </c>
      <c r="E23" s="185">
        <f>+D23-C23</f>
        <v>-21502</v>
      </c>
      <c r="F23" s="77">
        <f>IF(C23=0,0,+E23/C23)</f>
        <v>-0.13693535341956273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123526</v>
      </c>
      <c r="D24" s="185">
        <v>163006</v>
      </c>
      <c r="E24" s="185">
        <f>+D24-C24</f>
        <v>39480</v>
      </c>
      <c r="F24" s="77">
        <f>IF(C24=0,0,+E24/C24)</f>
        <v>0.31960882729142043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379861</v>
      </c>
      <c r="D25" s="79">
        <f>+D22+D23+D24</f>
        <v>368086</v>
      </c>
      <c r="E25" s="79">
        <f>+E22+E23+E24</f>
        <v>-11775</v>
      </c>
      <c r="F25" s="80">
        <f>IF(C25=0,0,+E25/C25)</f>
        <v>-3.0998180913544691E-2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17</v>
      </c>
      <c r="D27" s="185">
        <v>14</v>
      </c>
      <c r="E27" s="185">
        <f>+D27-C27</f>
        <v>-3</v>
      </c>
      <c r="F27" s="77">
        <f>IF(C27=0,0,+E27/C27)</f>
        <v>-0.17647058823529413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9</v>
      </c>
      <c r="D28" s="185">
        <v>6</v>
      </c>
      <c r="E28" s="185">
        <f>+D28-C28</f>
        <v>-3</v>
      </c>
      <c r="F28" s="77">
        <f>IF(C28=0,0,+E28/C28)</f>
        <v>-0.33333333333333331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83</v>
      </c>
      <c r="D29" s="185">
        <v>64</v>
      </c>
      <c r="E29" s="185">
        <f>+D29-C29</f>
        <v>-19</v>
      </c>
      <c r="F29" s="77">
        <f>IF(C29=0,0,+E29/C29)</f>
        <v>-0.2289156626506024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273</v>
      </c>
      <c r="D30" s="185">
        <v>184</v>
      </c>
      <c r="E30" s="185">
        <f>+D30-C30</f>
        <v>-89</v>
      </c>
      <c r="F30" s="77">
        <f>IF(C30=0,0,+E30/C30)</f>
        <v>-0.32600732600732601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2356240</v>
      </c>
      <c r="D33" s="76">
        <v>2459442</v>
      </c>
      <c r="E33" s="76">
        <f>+D33-C33</f>
        <v>103202</v>
      </c>
      <c r="F33" s="77">
        <f>IF(C33=0,0,+E33/C33)</f>
        <v>4.3799443180660716E-2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3811758</v>
      </c>
      <c r="D34" s="185">
        <v>1301137</v>
      </c>
      <c r="E34" s="185">
        <f>+D34-C34</f>
        <v>-2510621</v>
      </c>
      <c r="F34" s="77">
        <f>IF(C34=0,0,+E34/C34)</f>
        <v>-0.65865172972680852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4453827</v>
      </c>
      <c r="D35" s="185">
        <v>2104887</v>
      </c>
      <c r="E35" s="185">
        <f>+D35-C35</f>
        <v>-2348940</v>
      </c>
      <c r="F35" s="77">
        <f>IF(C35=0,0,+E35/C35)</f>
        <v>-0.52739812300747202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10621825</v>
      </c>
      <c r="D36" s="79">
        <f>+D33+D34+D35</f>
        <v>5865466</v>
      </c>
      <c r="E36" s="79">
        <f>+E33+E34+E35</f>
        <v>-4756359</v>
      </c>
      <c r="F36" s="80">
        <f>IF(C36=0,0,+E36/C36)</f>
        <v>-0.44779112817241856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379861</v>
      </c>
      <c r="D39" s="76">
        <f>+D25</f>
        <v>368086</v>
      </c>
      <c r="E39" s="76">
        <f>+D39-C39</f>
        <v>-11775</v>
      </c>
      <c r="F39" s="77">
        <f>IF(C39=0,0,+E39/C39)</f>
        <v>-3.0998180913544691E-2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10621825</v>
      </c>
      <c r="D40" s="185">
        <f>+D36</f>
        <v>5865466</v>
      </c>
      <c r="E40" s="185">
        <f>+D40-C40</f>
        <v>-4756359</v>
      </c>
      <c r="F40" s="77">
        <f>IF(C40=0,0,+E40/C40)</f>
        <v>-0.44779112817241856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11001686</v>
      </c>
      <c r="D41" s="79">
        <f>+D39+D40</f>
        <v>6233552</v>
      </c>
      <c r="E41" s="79">
        <f>+E39+E40</f>
        <v>-4768134</v>
      </c>
      <c r="F41" s="80">
        <f>IF(C41=0,0,+E41/C41)</f>
        <v>-0.43340029882692527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2455552</v>
      </c>
      <c r="D43" s="76">
        <f t="shared" si="0"/>
        <v>2529001</v>
      </c>
      <c r="E43" s="76">
        <f>+D43-C43</f>
        <v>73449</v>
      </c>
      <c r="F43" s="77">
        <f>IF(C43=0,0,+E43/C43)</f>
        <v>2.9911400776688909E-2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3968781</v>
      </c>
      <c r="D44" s="185">
        <f t="shared" si="0"/>
        <v>1436658</v>
      </c>
      <c r="E44" s="185">
        <f>+D44-C44</f>
        <v>-2532123</v>
      </c>
      <c r="F44" s="77">
        <f>IF(C44=0,0,+E44/C44)</f>
        <v>-0.63801026058127164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4577353</v>
      </c>
      <c r="D45" s="185">
        <f t="shared" si="0"/>
        <v>2267893</v>
      </c>
      <c r="E45" s="185">
        <f>+D45-C45</f>
        <v>-2309460</v>
      </c>
      <c r="F45" s="77">
        <f>IF(C45=0,0,+E45/C45)</f>
        <v>-0.50454050627076386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11001686</v>
      </c>
      <c r="D46" s="79">
        <f>+D43+D44+D45</f>
        <v>6233552</v>
      </c>
      <c r="E46" s="79">
        <f>+E43+E44+E45</f>
        <v>-4768134</v>
      </c>
      <c r="F46" s="80">
        <f>IF(C46=0,0,+E46/C46)</f>
        <v>-0.43340029882692527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B38" sqref="B38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274937974</v>
      </c>
      <c r="D15" s="76">
        <v>319053572</v>
      </c>
      <c r="E15" s="76">
        <f>+D15-C15</f>
        <v>44115598</v>
      </c>
      <c r="F15" s="77">
        <f>IF(C15=0,0,E15/C15)</f>
        <v>0.16045654719198593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122420682</v>
      </c>
      <c r="D17" s="76">
        <v>162444965</v>
      </c>
      <c r="E17" s="76">
        <f>+D17-C17</f>
        <v>40024283</v>
      </c>
      <c r="F17" s="77">
        <f>IF(C17=0,0,E17/C17)</f>
        <v>0.32694053280964402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152517292</v>
      </c>
      <c r="D19" s="79">
        <f>+D15-D17</f>
        <v>156608607</v>
      </c>
      <c r="E19" s="79">
        <f>+D19-C19</f>
        <v>4091315</v>
      </c>
      <c r="F19" s="80">
        <f>IF(C19=0,0,E19/C19)</f>
        <v>2.6825253362090903E-2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0.44526654582826014</v>
      </c>
      <c r="D21" s="720">
        <f>IF(D15=0,0,D17/D15)</f>
        <v>0.50914636053659357</v>
      </c>
      <c r="E21" s="720">
        <f>+D21-C21</f>
        <v>6.3879814708333427E-2</v>
      </c>
      <c r="F21" s="80">
        <f>IF(C21=0,0,E21/C21)</f>
        <v>0.14346421330510636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7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B38" sqref="B3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275367921</v>
      </c>
      <c r="D10" s="744">
        <v>295059747</v>
      </c>
      <c r="E10" s="744">
        <v>318234228</v>
      </c>
    </row>
    <row r="11" spans="1:6" ht="26.1" customHeight="1" x14ac:dyDescent="0.25">
      <c r="A11" s="742">
        <v>2</v>
      </c>
      <c r="B11" s="743" t="s">
        <v>932</v>
      </c>
      <c r="C11" s="744">
        <v>391982760</v>
      </c>
      <c r="D11" s="744">
        <v>469117294</v>
      </c>
      <c r="E11" s="744">
        <v>552780982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667350681</v>
      </c>
      <c r="D12" s="744">
        <f>+D11+D10</f>
        <v>764177041</v>
      </c>
      <c r="E12" s="744">
        <f>+E11+E10</f>
        <v>871015210</v>
      </c>
    </row>
    <row r="13" spans="1:6" ht="26.1" customHeight="1" x14ac:dyDescent="0.25">
      <c r="A13" s="742">
        <v>4</v>
      </c>
      <c r="B13" s="743" t="s">
        <v>507</v>
      </c>
      <c r="C13" s="744">
        <v>286757590</v>
      </c>
      <c r="D13" s="744">
        <v>337300171</v>
      </c>
      <c r="E13" s="744">
        <v>351910875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326572641</v>
      </c>
      <c r="D16" s="744">
        <v>340779258</v>
      </c>
      <c r="E16" s="744">
        <v>373828923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38723</v>
      </c>
      <c r="D19" s="747">
        <v>38384</v>
      </c>
      <c r="E19" s="747">
        <v>37746</v>
      </c>
    </row>
    <row r="20" spans="1:5" ht="26.1" customHeight="1" x14ac:dyDescent="0.25">
      <c r="A20" s="742">
        <v>2</v>
      </c>
      <c r="B20" s="743" t="s">
        <v>381</v>
      </c>
      <c r="C20" s="748">
        <v>8669</v>
      </c>
      <c r="D20" s="748">
        <v>8846</v>
      </c>
      <c r="E20" s="748">
        <v>9079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4.4668358518860307</v>
      </c>
      <c r="D21" s="749">
        <f>IF(D20=0,0,+D19/D20)</f>
        <v>4.3391363328057881</v>
      </c>
      <c r="E21" s="749">
        <f>IF(E20=0,0,+E19/E20)</f>
        <v>4.1575063332966185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93844.701759443502</v>
      </c>
      <c r="D22" s="748">
        <f>IF(D10=0,0,D19*(D12/D10))</f>
        <v>99410.956052043242</v>
      </c>
      <c r="E22" s="748">
        <f>IF(E10=0,0,E19*(E12/E10))</f>
        <v>103311.76606389429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21009.212084616782</v>
      </c>
      <c r="D23" s="748">
        <f>IF(D10=0,0,D20*(D12/D10))</f>
        <v>22910.30943196057</v>
      </c>
      <c r="E23" s="748">
        <f>IF(E10=0,0,E20*(E12/E10))</f>
        <v>24849.454885129449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1.4642609412850387</v>
      </c>
      <c r="D26" s="750">
        <v>1.5071486095410356</v>
      </c>
      <c r="E26" s="750">
        <v>1.5262392113668906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56700.576429380555</v>
      </c>
      <c r="D27" s="748">
        <f>D19*D26</f>
        <v>57850.39222862311</v>
      </c>
      <c r="E27" s="748">
        <f>E19*E26</f>
        <v>57609.425272254652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12693.678100000001</v>
      </c>
      <c r="D28" s="748">
        <f>D20*D26</f>
        <v>13332.2366</v>
      </c>
      <c r="E28" s="748">
        <f>E20*E26</f>
        <v>13856.7258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137413.13133289648</v>
      </c>
      <c r="D29" s="748">
        <f>D22*D26</f>
        <v>149827.08418698196</v>
      </c>
      <c r="E29" s="748">
        <f>E22*E26</f>
        <v>157678.46836227871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30762.96866267798</v>
      </c>
      <c r="D30" s="748">
        <f>D23*D26</f>
        <v>34529.241004534248</v>
      </c>
      <c r="E30" s="748">
        <f>E23*E26</f>
        <v>37926.2124267771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17233.961237507425</v>
      </c>
      <c r="D33" s="744">
        <f>IF(D19=0,0,D12/D19)</f>
        <v>19908.739083993332</v>
      </c>
      <c r="E33" s="744">
        <f>IF(E19=0,0,E12/E19)</f>
        <v>23075.69570285593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76981.275925712311</v>
      </c>
      <c r="D34" s="744">
        <f>IF(D20=0,0,D12/D20)</f>
        <v>86386.733099706078</v>
      </c>
      <c r="E34" s="744">
        <f>IF(E20=0,0,E12/E20)</f>
        <v>95937.351029849102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7111.2238462929008</v>
      </c>
      <c r="D35" s="744">
        <f>IF(D22=0,0,D12/D22)</f>
        <v>7687.0505158399337</v>
      </c>
      <c r="E35" s="744">
        <f>IF(E22=0,0,E12/E22)</f>
        <v>8430.9391193768879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31764.66962740801</v>
      </c>
      <c r="D36" s="744">
        <f>IF(D23=0,0,D12/D23)</f>
        <v>33355.160185394532</v>
      </c>
      <c r="E36" s="744">
        <f>IF(E23=0,0,E12/E23)</f>
        <v>35051.682784447628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4856.5277170147519</v>
      </c>
      <c r="D37" s="744">
        <f>IF(D29=0,0,D12/D29)</f>
        <v>5100.3931975764708</v>
      </c>
      <c r="E37" s="744">
        <f>IF(E29=0,0,E12/E29)</f>
        <v>5523.9958825498852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21693.312122039712</v>
      </c>
      <c r="D38" s="744">
        <f>IF(D30=0,0,D12/D30)</f>
        <v>22131.301435199552</v>
      </c>
      <c r="E38" s="744">
        <f>IF(E30=0,0,E12/E30)</f>
        <v>22966.047866805595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2934.2937410133545</v>
      </c>
      <c r="D39" s="744">
        <f>IF(D22=0,0,D10/D22)</f>
        <v>2968.0807701470194</v>
      </c>
      <c r="E39" s="744">
        <f>IF(E22=0,0,E10/E22)</f>
        <v>3080.3289898575981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13107.008482323236</v>
      </c>
      <c r="D40" s="744">
        <f>IF(D23=0,0,D10/D23)</f>
        <v>12878.907108447116</v>
      </c>
      <c r="E40" s="744">
        <f>IF(E23=0,0,E10/E23)</f>
        <v>12806.487283970142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7405.3557317356608</v>
      </c>
      <c r="D43" s="744">
        <f>IF(D19=0,0,D13/D19)</f>
        <v>8787.5200864943727</v>
      </c>
      <c r="E43" s="744">
        <f>IF(E19=0,0,E13/E19)</f>
        <v>9323.1302654585925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33078.508478486561</v>
      </c>
      <c r="D44" s="744">
        <f>IF(D20=0,0,D13/D20)</f>
        <v>38130.247682568392</v>
      </c>
      <c r="E44" s="744">
        <f>IF(E20=0,0,E13/E20)</f>
        <v>38760.973124793476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3055.6609443446164</v>
      </c>
      <c r="D45" s="744">
        <f>IF(D22=0,0,D13/D22)</f>
        <v>3392.9878998791432</v>
      </c>
      <c r="E45" s="744">
        <f>IF(E22=0,0,E13/E22)</f>
        <v>3406.3000605599645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13649.135857406458</v>
      </c>
      <c r="D46" s="744">
        <f>IF(D23=0,0,D13/D23)</f>
        <v>14722.637073135997</v>
      </c>
      <c r="E46" s="744">
        <f>IF(E23=0,0,E13/E23)</f>
        <v>14161.714074886708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2086.8281453051404</v>
      </c>
      <c r="D47" s="744">
        <f>IF(D29=0,0,D13/D29)</f>
        <v>2251.2629998128673</v>
      </c>
      <c r="E47" s="744">
        <f>IF(E29=0,0,E13/E29)</f>
        <v>2231.8258076394873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9321.5187761738325</v>
      </c>
      <c r="D48" s="744">
        <f>IF(D30=0,0,D13/D30)</f>
        <v>9768.5370771893613</v>
      </c>
      <c r="E48" s="744">
        <f>IF(E30=0,0,E13/E30)</f>
        <v>9278.8299300760082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8433.5573431810553</v>
      </c>
      <c r="D51" s="744">
        <f>IF(D19=0,0,D16/D19)</f>
        <v>8878.1590766986246</v>
      </c>
      <c r="E51" s="744">
        <f>IF(E19=0,0,E16/E19)</f>
        <v>9903.8023366714351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37671.316299457838</v>
      </c>
      <c r="D52" s="744">
        <f>IF(D20=0,0,D16/D20)</f>
        <v>38523.542618132487</v>
      </c>
      <c r="E52" s="744">
        <f>IF(E20=0,0,E16/E20)</f>
        <v>41175.12093842934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3479.926249188994</v>
      </c>
      <c r="D53" s="744">
        <f>IF(D22=0,0,D16/D22)</f>
        <v>3427.9849176945504</v>
      </c>
      <c r="E53" s="744">
        <f>IF(E22=0,0,E16/E22)</f>
        <v>3618.454482413953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15544.25933179668</v>
      </c>
      <c r="D54" s="744">
        <f>IF(D23=0,0,D16/D23)</f>
        <v>14874.493904678682</v>
      </c>
      <c r="E54" s="744">
        <f>IF(E23=0,0,E16/E23)</f>
        <v>15043.747427381548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2376.5752066943769</v>
      </c>
      <c r="D55" s="744">
        <f>IF(D29=0,0,D16/D29)</f>
        <v>2274.4836812996546</v>
      </c>
      <c r="E55" s="744">
        <f>IF(E29=0,0,E16/E29)</f>
        <v>2370.830506427159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10615.771337965898</v>
      </c>
      <c r="D56" s="744">
        <f>IF(D30=0,0,D16/D30)</f>
        <v>9869.2947799011909</v>
      </c>
      <c r="E56" s="744">
        <f>IF(E30=0,0,E16/E30)</f>
        <v>9856.7428456437428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36895430</v>
      </c>
      <c r="D59" s="752">
        <v>35825105</v>
      </c>
      <c r="E59" s="752">
        <v>38080409</v>
      </c>
    </row>
    <row r="60" spans="1:6" ht="26.1" customHeight="1" x14ac:dyDescent="0.25">
      <c r="A60" s="742">
        <v>2</v>
      </c>
      <c r="B60" s="743" t="s">
        <v>968</v>
      </c>
      <c r="C60" s="752">
        <v>19514370</v>
      </c>
      <c r="D60" s="752">
        <v>19135000</v>
      </c>
      <c r="E60" s="752">
        <v>21164041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56409800</v>
      </c>
      <c r="D61" s="755">
        <f>D59+D60</f>
        <v>54960105</v>
      </c>
      <c r="E61" s="755">
        <f>E59+E60</f>
        <v>59244450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2571218</v>
      </c>
      <c r="D64" s="744">
        <v>3099619</v>
      </c>
      <c r="E64" s="752">
        <v>3767525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618052</v>
      </c>
      <c r="D65" s="752">
        <v>756287</v>
      </c>
      <c r="E65" s="752">
        <v>931016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3189270</v>
      </c>
      <c r="D66" s="757">
        <f>D64+D65</f>
        <v>3855906</v>
      </c>
      <c r="E66" s="757">
        <f>E64+E65</f>
        <v>4698541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65156560</v>
      </c>
      <c r="D69" s="752">
        <v>68386128</v>
      </c>
      <c r="E69" s="752">
        <v>75125483</v>
      </c>
    </row>
    <row r="70" spans="1:6" ht="26.1" customHeight="1" x14ac:dyDescent="0.25">
      <c r="A70" s="742">
        <v>2</v>
      </c>
      <c r="B70" s="743" t="s">
        <v>976</v>
      </c>
      <c r="C70" s="752">
        <v>35596592</v>
      </c>
      <c r="D70" s="752">
        <v>37538515</v>
      </c>
      <c r="E70" s="752">
        <v>45097395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100753152</v>
      </c>
      <c r="D71" s="755">
        <f>D69+D70</f>
        <v>105924643</v>
      </c>
      <c r="E71" s="755">
        <f>E69+E70</f>
        <v>120222878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104623208</v>
      </c>
      <c r="D75" s="744">
        <f t="shared" si="0"/>
        <v>107310852</v>
      </c>
      <c r="E75" s="744">
        <f t="shared" si="0"/>
        <v>116973417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55729014</v>
      </c>
      <c r="D76" s="744">
        <f t="shared" si="0"/>
        <v>57429802</v>
      </c>
      <c r="E76" s="744">
        <f t="shared" si="0"/>
        <v>67192452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160352222</v>
      </c>
      <c r="D77" s="757">
        <f>D75+D76</f>
        <v>164740654</v>
      </c>
      <c r="E77" s="757">
        <f>E75+E76</f>
        <v>184165869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603.79999999999995</v>
      </c>
      <c r="D80" s="749">
        <v>558.5</v>
      </c>
      <c r="E80" s="749">
        <v>576.5</v>
      </c>
    </row>
    <row r="81" spans="1:5" ht="26.1" customHeight="1" x14ac:dyDescent="0.25">
      <c r="A81" s="742">
        <v>2</v>
      </c>
      <c r="B81" s="743" t="s">
        <v>617</v>
      </c>
      <c r="C81" s="749">
        <v>36.1</v>
      </c>
      <c r="D81" s="749">
        <v>37.9</v>
      </c>
      <c r="E81" s="749">
        <v>42.6</v>
      </c>
    </row>
    <row r="82" spans="1:5" ht="26.1" customHeight="1" x14ac:dyDescent="0.25">
      <c r="A82" s="742">
        <v>3</v>
      </c>
      <c r="B82" s="743" t="s">
        <v>982</v>
      </c>
      <c r="C82" s="749">
        <v>663.9</v>
      </c>
      <c r="D82" s="749">
        <v>687.4</v>
      </c>
      <c r="E82" s="749">
        <v>744.5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1303.8</v>
      </c>
      <c r="D83" s="759">
        <f>D80+D81+D82</f>
        <v>1283.8</v>
      </c>
      <c r="E83" s="759">
        <f>E80+E81+E82</f>
        <v>1363.6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61105.382577012264</v>
      </c>
      <c r="D86" s="752">
        <f>IF(D80=0,0,D59/D80)</f>
        <v>64145.219337511189</v>
      </c>
      <c r="E86" s="752">
        <f>IF(E80=0,0,E59/E80)</f>
        <v>66054.482220294885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32319.261344816168</v>
      </c>
      <c r="D87" s="752">
        <f>IF(D80=0,0,D60/D80)</f>
        <v>34261.41450313339</v>
      </c>
      <c r="E87" s="752">
        <f>IF(E80=0,0,E60/E80)</f>
        <v>36711.259323503902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93424.643921828436</v>
      </c>
      <c r="D88" s="755">
        <f>+D86+D87</f>
        <v>98406.633840644587</v>
      </c>
      <c r="E88" s="755">
        <f>+E86+E87</f>
        <v>102765.74154379879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71224.875346260378</v>
      </c>
      <c r="D91" s="744">
        <f>IF(D81=0,0,D64/D81)</f>
        <v>81784.142480211085</v>
      </c>
      <c r="E91" s="744">
        <f>IF(E81=0,0,E64/E81)</f>
        <v>88439.553990610322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17120.554016620499</v>
      </c>
      <c r="D92" s="744">
        <f>IF(D81=0,0,D65/D81)</f>
        <v>19954.802110817942</v>
      </c>
      <c r="E92" s="744">
        <f>IF(E81=0,0,E65/E81)</f>
        <v>21854.835680751174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88345.429362880881</v>
      </c>
      <c r="D93" s="757">
        <f>+D91+D92</f>
        <v>101738.94459102902</v>
      </c>
      <c r="E93" s="757">
        <f>+E91+E92</f>
        <v>110294.3896713615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98142.129838831155</v>
      </c>
      <c r="D96" s="752">
        <f>IF(D82=0,0,D69/D82)</f>
        <v>99485.202211230731</v>
      </c>
      <c r="E96" s="752">
        <f>IF(E82=0,0,E69/E82)</f>
        <v>100907.29751511081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53617.40021087513</v>
      </c>
      <c r="D97" s="752">
        <f>IF(D82=0,0,D70/D82)</f>
        <v>54609.419551934829</v>
      </c>
      <c r="E97" s="752">
        <f>IF(E82=0,0,E70/E82)</f>
        <v>60574.069845533915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151759.53004970629</v>
      </c>
      <c r="D98" s="757">
        <f>+D96+D97</f>
        <v>154094.62176316557</v>
      </c>
      <c r="E98" s="757">
        <f>+E96+E97</f>
        <v>161481.36736064474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80244.828961497158</v>
      </c>
      <c r="D101" s="744">
        <f>IF(D83=0,0,D75/D83)</f>
        <v>83588.44991431688</v>
      </c>
      <c r="E101" s="744">
        <f>IF(E83=0,0,E75/E83)</f>
        <v>85782.793341155775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42743.529682466637</v>
      </c>
      <c r="D102" s="761">
        <f>IF(D83=0,0,D76/D83)</f>
        <v>44734.228072908554</v>
      </c>
      <c r="E102" s="761">
        <f>IF(E83=0,0,E76/E83)</f>
        <v>49275.778820768559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122988.35864396379</v>
      </c>
      <c r="D103" s="757">
        <f>+D101+D102</f>
        <v>128322.67798722544</v>
      </c>
      <c r="E103" s="757">
        <f>+E101+E102</f>
        <v>135058.57216192433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4141.0072050202725</v>
      </c>
      <c r="D108" s="744">
        <f>IF(D19=0,0,D77/D19)</f>
        <v>4291.9094935389749</v>
      </c>
      <c r="E108" s="744">
        <f>IF(E19=0,0,E77/E19)</f>
        <v>4879.0830551581621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18497.199446302919</v>
      </c>
      <c r="D109" s="744">
        <f>IF(D20=0,0,D77/D20)</f>
        <v>18623.180420529054</v>
      </c>
      <c r="E109" s="744">
        <f>IF(E20=0,0,E77/E20)</f>
        <v>20284.818702500277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1708.6976568057974</v>
      </c>
      <c r="D110" s="744">
        <f>IF(D22=0,0,D77/D22)</f>
        <v>1657.1679877392548</v>
      </c>
      <c r="E110" s="744">
        <f>IF(E22=0,0,E77/E22)</f>
        <v>1782.6224061071671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7632.471953453789</v>
      </c>
      <c r="D111" s="744">
        <f>IF(D23=0,0,D77/D23)</f>
        <v>7190.6778251620572</v>
      </c>
      <c r="E111" s="744">
        <f>IF(E23=0,0,E77/E23)</f>
        <v>7411.2639432670039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1166.9352153218267</v>
      </c>
      <c r="D112" s="744">
        <f>IF(D29=0,0,D77/D29)</f>
        <v>1099.5385440085461</v>
      </c>
      <c r="E112" s="744">
        <f>IF(E29=0,0,E77/E29)</f>
        <v>1167.9836246053862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5212.5080566278812</v>
      </c>
      <c r="D113" s="744">
        <f>IF(D30=0,0,D77/D30)</f>
        <v>4771.0476456278575</v>
      </c>
      <c r="E113" s="744">
        <f>IF(E30=0,0,E77/E30)</f>
        <v>4855.8993164836338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8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75" zoomScaleSheetLayoutView="75" workbookViewId="0">
      <selection activeCell="B38" sqref="B38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740812802</v>
      </c>
      <c r="D12" s="76">
        <v>842247138</v>
      </c>
      <c r="E12" s="76">
        <f t="shared" ref="E12:E21" si="0">D12-C12</f>
        <v>101434336</v>
      </c>
      <c r="F12" s="77">
        <f t="shared" ref="F12:F21" si="1">IF(C12=0,0,E12/C12)</f>
        <v>0.13692303335762279</v>
      </c>
    </row>
    <row r="13" spans="1:8" ht="23.1" customHeight="1" x14ac:dyDescent="0.2">
      <c r="A13" s="74">
        <v>2</v>
      </c>
      <c r="B13" s="75" t="s">
        <v>72</v>
      </c>
      <c r="C13" s="76">
        <v>393780093</v>
      </c>
      <c r="D13" s="76">
        <v>483865467</v>
      </c>
      <c r="E13" s="76">
        <f t="shared" si="0"/>
        <v>90085374</v>
      </c>
      <c r="F13" s="77">
        <f t="shared" si="1"/>
        <v>0.22877076724140039</v>
      </c>
    </row>
    <row r="14" spans="1:8" ht="23.1" customHeight="1" x14ac:dyDescent="0.2">
      <c r="A14" s="74">
        <v>3</v>
      </c>
      <c r="B14" s="75" t="s">
        <v>73</v>
      </c>
      <c r="C14" s="76">
        <v>327517</v>
      </c>
      <c r="D14" s="76">
        <v>436729</v>
      </c>
      <c r="E14" s="76">
        <f t="shared" si="0"/>
        <v>109212</v>
      </c>
      <c r="F14" s="77">
        <f t="shared" si="1"/>
        <v>0.3334544466394111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346705192</v>
      </c>
      <c r="D16" s="79">
        <f>D12-D13-D14-D15</f>
        <v>357944942</v>
      </c>
      <c r="E16" s="79">
        <f t="shared" si="0"/>
        <v>11239750</v>
      </c>
      <c r="F16" s="80">
        <f t="shared" si="1"/>
        <v>3.241875304826701E-2</v>
      </c>
    </row>
    <row r="17" spans="1:7" ht="23.1" customHeight="1" x14ac:dyDescent="0.2">
      <c r="A17" s="74">
        <v>5</v>
      </c>
      <c r="B17" s="75" t="s">
        <v>76</v>
      </c>
      <c r="C17" s="76">
        <v>9405021</v>
      </c>
      <c r="D17" s="76">
        <v>6034067</v>
      </c>
      <c r="E17" s="76">
        <f t="shared" si="0"/>
        <v>-3370954</v>
      </c>
      <c r="F17" s="77">
        <f t="shared" si="1"/>
        <v>-0.35842067763591384</v>
      </c>
      <c r="G17" s="65"/>
    </row>
    <row r="18" spans="1:7" ht="31.5" customHeight="1" x14ac:dyDescent="0.25">
      <c r="A18" s="71"/>
      <c r="B18" s="81" t="s">
        <v>77</v>
      </c>
      <c r="C18" s="79">
        <f>C16-C17</f>
        <v>337300171</v>
      </c>
      <c r="D18" s="79">
        <f>D16-D17</f>
        <v>351910875</v>
      </c>
      <c r="E18" s="79">
        <f t="shared" si="0"/>
        <v>14610704</v>
      </c>
      <c r="F18" s="80">
        <f t="shared" si="1"/>
        <v>4.3316621977046076E-2</v>
      </c>
    </row>
    <row r="19" spans="1:7" ht="23.1" customHeight="1" x14ac:dyDescent="0.2">
      <c r="A19" s="74">
        <v>6</v>
      </c>
      <c r="B19" s="75" t="s">
        <v>78</v>
      </c>
      <c r="C19" s="76">
        <v>22995416</v>
      </c>
      <c r="D19" s="76">
        <v>26160445</v>
      </c>
      <c r="E19" s="76">
        <f t="shared" si="0"/>
        <v>3165029</v>
      </c>
      <c r="F19" s="77">
        <f t="shared" si="1"/>
        <v>0.1376373882516411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360295587</v>
      </c>
      <c r="D21" s="79">
        <f>SUM(D18:D20)</f>
        <v>378071320</v>
      </c>
      <c r="E21" s="79">
        <f t="shared" si="0"/>
        <v>17775733</v>
      </c>
      <c r="F21" s="80">
        <f t="shared" si="1"/>
        <v>4.9336527122104332E-2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107310852</v>
      </c>
      <c r="D24" s="76">
        <v>116973417</v>
      </c>
      <c r="E24" s="76">
        <f t="shared" ref="E24:E33" si="2">D24-C24</f>
        <v>9662565</v>
      </c>
      <c r="F24" s="77">
        <f t="shared" ref="F24:F33" si="3">IF(C24=0,0,E24/C24)</f>
        <v>9.0042757278639446E-2</v>
      </c>
    </row>
    <row r="25" spans="1:7" ht="23.1" customHeight="1" x14ac:dyDescent="0.2">
      <c r="A25" s="74">
        <v>2</v>
      </c>
      <c r="B25" s="75" t="s">
        <v>83</v>
      </c>
      <c r="C25" s="76">
        <v>57429802</v>
      </c>
      <c r="D25" s="76">
        <v>67192452</v>
      </c>
      <c r="E25" s="76">
        <f t="shared" si="2"/>
        <v>9762650</v>
      </c>
      <c r="F25" s="77">
        <f t="shared" si="3"/>
        <v>0.16999275045384973</v>
      </c>
    </row>
    <row r="26" spans="1:7" ht="23.1" customHeight="1" x14ac:dyDescent="0.2">
      <c r="A26" s="74">
        <v>3</v>
      </c>
      <c r="B26" s="75" t="s">
        <v>84</v>
      </c>
      <c r="C26" s="76">
        <v>23033317</v>
      </c>
      <c r="D26" s="76">
        <v>25300774</v>
      </c>
      <c r="E26" s="76">
        <f t="shared" si="2"/>
        <v>2267457</v>
      </c>
      <c r="F26" s="77">
        <f t="shared" si="3"/>
        <v>9.8442486594527395E-2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58778144</v>
      </c>
      <c r="D27" s="76">
        <v>61621182</v>
      </c>
      <c r="E27" s="76">
        <f t="shared" si="2"/>
        <v>2843038</v>
      </c>
      <c r="F27" s="77">
        <f t="shared" si="3"/>
        <v>4.8368965171816249E-2</v>
      </c>
    </row>
    <row r="28" spans="1:7" ht="23.1" customHeight="1" x14ac:dyDescent="0.2">
      <c r="A28" s="74">
        <v>5</v>
      </c>
      <c r="B28" s="75" t="s">
        <v>86</v>
      </c>
      <c r="C28" s="76">
        <v>7879044</v>
      </c>
      <c r="D28" s="76">
        <v>8910972</v>
      </c>
      <c r="E28" s="76">
        <f t="shared" si="2"/>
        <v>1031928</v>
      </c>
      <c r="F28" s="77">
        <f t="shared" si="3"/>
        <v>0.13097121935097711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0</v>
      </c>
      <c r="D30" s="76">
        <v>0</v>
      </c>
      <c r="E30" s="76">
        <f t="shared" si="2"/>
        <v>0</v>
      </c>
      <c r="F30" s="77">
        <f t="shared" si="3"/>
        <v>0</v>
      </c>
    </row>
    <row r="31" spans="1:7" ht="23.1" customHeight="1" x14ac:dyDescent="0.2">
      <c r="A31" s="74">
        <v>8</v>
      </c>
      <c r="B31" s="75" t="s">
        <v>89</v>
      </c>
      <c r="C31" s="76">
        <v>3128114</v>
      </c>
      <c r="D31" s="76">
        <v>3128112</v>
      </c>
      <c r="E31" s="76">
        <f t="shared" si="2"/>
        <v>-2</v>
      </c>
      <c r="F31" s="77">
        <f t="shared" si="3"/>
        <v>-6.3936288766969487E-7</v>
      </c>
    </row>
    <row r="32" spans="1:7" ht="23.1" customHeight="1" x14ac:dyDescent="0.2">
      <c r="A32" s="74">
        <v>9</v>
      </c>
      <c r="B32" s="75" t="s">
        <v>90</v>
      </c>
      <c r="C32" s="76">
        <v>83219985</v>
      </c>
      <c r="D32" s="76">
        <v>90702014</v>
      </c>
      <c r="E32" s="76">
        <f t="shared" si="2"/>
        <v>7482029</v>
      </c>
      <c r="F32" s="77">
        <f t="shared" si="3"/>
        <v>8.9906637209800022E-2</v>
      </c>
    </row>
    <row r="33" spans="1:6" ht="23.1" customHeight="1" x14ac:dyDescent="0.25">
      <c r="A33" s="71"/>
      <c r="B33" s="78" t="s">
        <v>91</v>
      </c>
      <c r="C33" s="79">
        <f>SUM(C24:C32)</f>
        <v>340779258</v>
      </c>
      <c r="D33" s="79">
        <f>SUM(D24:D32)</f>
        <v>373828923</v>
      </c>
      <c r="E33" s="79">
        <f t="shared" si="2"/>
        <v>33049665</v>
      </c>
      <c r="F33" s="80">
        <f t="shared" si="3"/>
        <v>9.6982619171029474E-2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19516329</v>
      </c>
      <c r="D35" s="79">
        <f>+D21-D33</f>
        <v>4242397</v>
      </c>
      <c r="E35" s="79">
        <f>D35-C35</f>
        <v>-15273932</v>
      </c>
      <c r="F35" s="80">
        <f>IF(C35=0,0,E35/C35)</f>
        <v>-0.78262320746898661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550000</v>
      </c>
      <c r="D39" s="76">
        <v>550000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-350209</v>
      </c>
      <c r="D40" s="76">
        <v>-354307</v>
      </c>
      <c r="E40" s="76">
        <f>D40-C40</f>
        <v>-4098</v>
      </c>
      <c r="F40" s="77">
        <f>IF(C40=0,0,E40/C40)</f>
        <v>1.1701583911321525E-2</v>
      </c>
    </row>
    <row r="41" spans="1:6" ht="23.1" customHeight="1" x14ac:dyDescent="0.25">
      <c r="A41" s="83"/>
      <c r="B41" s="78" t="s">
        <v>97</v>
      </c>
      <c r="C41" s="79">
        <f>SUM(C38:C40)</f>
        <v>199791</v>
      </c>
      <c r="D41" s="79">
        <f>SUM(D38:D40)</f>
        <v>195693</v>
      </c>
      <c r="E41" s="79">
        <f>D41-C41</f>
        <v>-4098</v>
      </c>
      <c r="F41" s="80">
        <f>IF(C41=0,0,E41/C41)</f>
        <v>-2.0511434448999204E-2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19716120</v>
      </c>
      <c r="D43" s="79">
        <f>D35+D41</f>
        <v>4438090</v>
      </c>
      <c r="E43" s="79">
        <f>D43-C43</f>
        <v>-15278030</v>
      </c>
      <c r="F43" s="80">
        <f>IF(C43=0,0,E43/C43)</f>
        <v>-0.77490043679993836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8002293</v>
      </c>
      <c r="D47" s="76">
        <v>281324125</v>
      </c>
      <c r="E47" s="76">
        <f>D47-C47</f>
        <v>273321832</v>
      </c>
      <c r="F47" s="77">
        <f>IF(C47=0,0,E47/C47)</f>
        <v>34.155439197240092</v>
      </c>
    </row>
    <row r="48" spans="1:6" ht="23.1" customHeight="1" x14ac:dyDescent="0.25">
      <c r="A48" s="83"/>
      <c r="B48" s="78" t="s">
        <v>102</v>
      </c>
      <c r="C48" s="79">
        <f>SUM(C46:C47)</f>
        <v>8002293</v>
      </c>
      <c r="D48" s="79">
        <f>SUM(D46:D47)</f>
        <v>281324125</v>
      </c>
      <c r="E48" s="79">
        <f>D48-C48</f>
        <v>273321832</v>
      </c>
      <c r="F48" s="80">
        <f>IF(C48=0,0,E48/C48)</f>
        <v>34.155439197240092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27718413</v>
      </c>
      <c r="D50" s="79">
        <f>D43+D48</f>
        <v>285762215</v>
      </c>
      <c r="E50" s="79">
        <f>D50-C50</f>
        <v>258043802</v>
      </c>
      <c r="F50" s="80">
        <f>IF(C50=0,0,E50/C50)</f>
        <v>9.3094724434620417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38" sqref="B38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120575635</v>
      </c>
      <c r="D14" s="113">
        <v>124303198</v>
      </c>
      <c r="E14" s="113">
        <f t="shared" ref="E14:E25" si="0">D14-C14</f>
        <v>3727563</v>
      </c>
      <c r="F14" s="114">
        <f t="shared" ref="F14:F25" si="1">IF(C14=0,0,E14/C14)</f>
        <v>3.0914728336284523E-2</v>
      </c>
    </row>
    <row r="15" spans="1:6" x14ac:dyDescent="0.2">
      <c r="A15" s="115">
        <v>2</v>
      </c>
      <c r="B15" s="116" t="s">
        <v>114</v>
      </c>
      <c r="C15" s="113">
        <v>31060011</v>
      </c>
      <c r="D15" s="113">
        <v>38256470</v>
      </c>
      <c r="E15" s="113">
        <f t="shared" si="0"/>
        <v>7196459</v>
      </c>
      <c r="F15" s="114">
        <f t="shared" si="1"/>
        <v>0.23169531395207812</v>
      </c>
    </row>
    <row r="16" spans="1:6" x14ac:dyDescent="0.2">
      <c r="A16" s="115">
        <v>3</v>
      </c>
      <c r="B16" s="116" t="s">
        <v>115</v>
      </c>
      <c r="C16" s="113">
        <v>71652252</v>
      </c>
      <c r="D16" s="113">
        <v>76233705</v>
      </c>
      <c r="E16" s="113">
        <f t="shared" si="0"/>
        <v>4581453</v>
      </c>
      <c r="F16" s="114">
        <f t="shared" si="1"/>
        <v>6.3940111749732589E-2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894989</v>
      </c>
      <c r="D18" s="113">
        <v>910445</v>
      </c>
      <c r="E18" s="113">
        <f t="shared" si="0"/>
        <v>15456</v>
      </c>
      <c r="F18" s="114">
        <f t="shared" si="1"/>
        <v>1.7269485993682603E-2</v>
      </c>
    </row>
    <row r="19" spans="1:6" x14ac:dyDescent="0.2">
      <c r="A19" s="115">
        <v>6</v>
      </c>
      <c r="B19" s="116" t="s">
        <v>118</v>
      </c>
      <c r="C19" s="113">
        <v>392342</v>
      </c>
      <c r="D19" s="113">
        <v>348424</v>
      </c>
      <c r="E19" s="113">
        <f t="shared" si="0"/>
        <v>-43918</v>
      </c>
      <c r="F19" s="114">
        <f t="shared" si="1"/>
        <v>-0.1119380540446855</v>
      </c>
    </row>
    <row r="20" spans="1:6" x14ac:dyDescent="0.2">
      <c r="A20" s="115">
        <v>7</v>
      </c>
      <c r="B20" s="116" t="s">
        <v>119</v>
      </c>
      <c r="C20" s="113">
        <v>68266938</v>
      </c>
      <c r="D20" s="113">
        <v>76133503</v>
      </c>
      <c r="E20" s="113">
        <f t="shared" si="0"/>
        <v>7866565</v>
      </c>
      <c r="F20" s="114">
        <f t="shared" si="1"/>
        <v>0.11523242773829991</v>
      </c>
    </row>
    <row r="21" spans="1:6" x14ac:dyDescent="0.2">
      <c r="A21" s="115">
        <v>8</v>
      </c>
      <c r="B21" s="116" t="s">
        <v>120</v>
      </c>
      <c r="C21" s="113">
        <v>1320198</v>
      </c>
      <c r="D21" s="113">
        <v>1380324</v>
      </c>
      <c r="E21" s="113">
        <f t="shared" si="0"/>
        <v>60126</v>
      </c>
      <c r="F21" s="114">
        <f t="shared" si="1"/>
        <v>4.5543168524721289E-2</v>
      </c>
    </row>
    <row r="22" spans="1:6" x14ac:dyDescent="0.2">
      <c r="A22" s="115">
        <v>9</v>
      </c>
      <c r="B22" s="116" t="s">
        <v>121</v>
      </c>
      <c r="C22" s="113">
        <v>571912</v>
      </c>
      <c r="D22" s="113">
        <v>419392</v>
      </c>
      <c r="E22" s="113">
        <f t="shared" si="0"/>
        <v>-152520</v>
      </c>
      <c r="F22" s="114">
        <f t="shared" si="1"/>
        <v>-0.2666843850102813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325470</v>
      </c>
      <c r="D24" s="113">
        <v>248767</v>
      </c>
      <c r="E24" s="113">
        <f t="shared" si="0"/>
        <v>-76703</v>
      </c>
      <c r="F24" s="114">
        <f t="shared" si="1"/>
        <v>-0.23566841798015178</v>
      </c>
    </row>
    <row r="25" spans="1:6" ht="15.75" x14ac:dyDescent="0.25">
      <c r="A25" s="117"/>
      <c r="B25" s="118" t="s">
        <v>124</v>
      </c>
      <c r="C25" s="119">
        <f>SUM(C14:C24)</f>
        <v>295059747</v>
      </c>
      <c r="D25" s="119">
        <f>SUM(D14:D24)</f>
        <v>318234228</v>
      </c>
      <c r="E25" s="119">
        <f t="shared" si="0"/>
        <v>23174481</v>
      </c>
      <c r="F25" s="120">
        <f t="shared" si="1"/>
        <v>7.8541655497318646E-2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118521715</v>
      </c>
      <c r="D27" s="113">
        <v>137627645</v>
      </c>
      <c r="E27" s="113">
        <f t="shared" ref="E27:E38" si="2">D27-C27</f>
        <v>19105930</v>
      </c>
      <c r="F27" s="114">
        <f t="shared" ref="F27:F38" si="3">IF(C27=0,0,E27/C27)</f>
        <v>0.16120193670839136</v>
      </c>
    </row>
    <row r="28" spans="1:6" x14ac:dyDescent="0.2">
      <c r="A28" s="115">
        <v>2</v>
      </c>
      <c r="B28" s="116" t="s">
        <v>114</v>
      </c>
      <c r="C28" s="113">
        <v>35149230</v>
      </c>
      <c r="D28" s="113">
        <v>46103990</v>
      </c>
      <c r="E28" s="113">
        <f t="shared" si="2"/>
        <v>10954760</v>
      </c>
      <c r="F28" s="114">
        <f t="shared" si="3"/>
        <v>0.31166429534871748</v>
      </c>
    </row>
    <row r="29" spans="1:6" x14ac:dyDescent="0.2">
      <c r="A29" s="115">
        <v>3</v>
      </c>
      <c r="B29" s="116" t="s">
        <v>115</v>
      </c>
      <c r="C29" s="113">
        <v>104478208</v>
      </c>
      <c r="D29" s="113">
        <v>120947843</v>
      </c>
      <c r="E29" s="113">
        <f t="shared" si="2"/>
        <v>16469635</v>
      </c>
      <c r="F29" s="114">
        <f t="shared" si="3"/>
        <v>0.15763703565819198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3070634</v>
      </c>
      <c r="D31" s="113">
        <v>3067819</v>
      </c>
      <c r="E31" s="113">
        <f t="shared" si="2"/>
        <v>-2815</v>
      </c>
      <c r="F31" s="114">
        <f t="shared" si="3"/>
        <v>-9.1674878868663607E-4</v>
      </c>
    </row>
    <row r="32" spans="1:6" x14ac:dyDescent="0.2">
      <c r="A32" s="115">
        <v>6</v>
      </c>
      <c r="B32" s="116" t="s">
        <v>118</v>
      </c>
      <c r="C32" s="113">
        <v>897981</v>
      </c>
      <c r="D32" s="113">
        <v>860747</v>
      </c>
      <c r="E32" s="113">
        <f t="shared" si="2"/>
        <v>-37234</v>
      </c>
      <c r="F32" s="114">
        <f t="shared" si="3"/>
        <v>-4.1464128973775612E-2</v>
      </c>
    </row>
    <row r="33" spans="1:6" x14ac:dyDescent="0.2">
      <c r="A33" s="115">
        <v>7</v>
      </c>
      <c r="B33" s="116" t="s">
        <v>119</v>
      </c>
      <c r="C33" s="113">
        <v>199596595</v>
      </c>
      <c r="D33" s="113">
        <v>235578293</v>
      </c>
      <c r="E33" s="113">
        <f t="shared" si="2"/>
        <v>35981698</v>
      </c>
      <c r="F33" s="114">
        <f t="shared" si="3"/>
        <v>0.18027210333923782</v>
      </c>
    </row>
    <row r="34" spans="1:6" x14ac:dyDescent="0.2">
      <c r="A34" s="115">
        <v>8</v>
      </c>
      <c r="B34" s="116" t="s">
        <v>120</v>
      </c>
      <c r="C34" s="113">
        <v>4463919</v>
      </c>
      <c r="D34" s="113">
        <v>4752282</v>
      </c>
      <c r="E34" s="113">
        <f t="shared" si="2"/>
        <v>288363</v>
      </c>
      <c r="F34" s="114">
        <f t="shared" si="3"/>
        <v>6.4598618388908943E-2</v>
      </c>
    </row>
    <row r="35" spans="1:6" x14ac:dyDescent="0.2">
      <c r="A35" s="115">
        <v>9</v>
      </c>
      <c r="B35" s="116" t="s">
        <v>121</v>
      </c>
      <c r="C35" s="113">
        <v>2766356</v>
      </c>
      <c r="D35" s="113">
        <v>3649810</v>
      </c>
      <c r="E35" s="113">
        <f t="shared" si="2"/>
        <v>883454</v>
      </c>
      <c r="F35" s="114">
        <f t="shared" si="3"/>
        <v>0.3193565831729539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172656</v>
      </c>
      <c r="D37" s="113">
        <v>192553</v>
      </c>
      <c r="E37" s="113">
        <f t="shared" si="2"/>
        <v>19897</v>
      </c>
      <c r="F37" s="114">
        <f t="shared" si="3"/>
        <v>0.11524070985080159</v>
      </c>
    </row>
    <row r="38" spans="1:6" ht="15.75" x14ac:dyDescent="0.25">
      <c r="A38" s="117"/>
      <c r="B38" s="118" t="s">
        <v>126</v>
      </c>
      <c r="C38" s="119">
        <f>SUM(C27:C37)</f>
        <v>469117294</v>
      </c>
      <c r="D38" s="119">
        <f>SUM(D27:D37)</f>
        <v>552780982</v>
      </c>
      <c r="E38" s="119">
        <f t="shared" si="2"/>
        <v>83663688</v>
      </c>
      <c r="F38" s="120">
        <f t="shared" si="3"/>
        <v>0.17834279202676334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239097350</v>
      </c>
      <c r="D41" s="119">
        <f t="shared" si="4"/>
        <v>261930843</v>
      </c>
      <c r="E41" s="123">
        <f t="shared" ref="E41:E52" si="5">D41-C41</f>
        <v>22833493</v>
      </c>
      <c r="F41" s="124">
        <f t="shared" ref="F41:F52" si="6">IF(C41=0,0,E41/C41)</f>
        <v>9.5498728865041793E-2</v>
      </c>
    </row>
    <row r="42" spans="1:6" ht="15.75" x14ac:dyDescent="0.25">
      <c r="A42" s="121">
        <v>2</v>
      </c>
      <c r="B42" s="122" t="s">
        <v>114</v>
      </c>
      <c r="C42" s="119">
        <f t="shared" si="4"/>
        <v>66209241</v>
      </c>
      <c r="D42" s="119">
        <f t="shared" si="4"/>
        <v>84360460</v>
      </c>
      <c r="E42" s="123">
        <f t="shared" si="5"/>
        <v>18151219</v>
      </c>
      <c r="F42" s="124">
        <f t="shared" si="6"/>
        <v>0.27414932909440842</v>
      </c>
    </row>
    <row r="43" spans="1:6" ht="15.75" x14ac:dyDescent="0.25">
      <c r="A43" s="121">
        <v>3</v>
      </c>
      <c r="B43" s="122" t="s">
        <v>115</v>
      </c>
      <c r="C43" s="119">
        <f t="shared" si="4"/>
        <v>176130460</v>
      </c>
      <c r="D43" s="119">
        <f t="shared" si="4"/>
        <v>197181548</v>
      </c>
      <c r="E43" s="123">
        <f t="shared" si="5"/>
        <v>21051088</v>
      </c>
      <c r="F43" s="124">
        <f t="shared" si="6"/>
        <v>0.1195198604488968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3965623</v>
      </c>
      <c r="D45" s="119">
        <f t="shared" si="4"/>
        <v>3978264</v>
      </c>
      <c r="E45" s="123">
        <f t="shared" si="5"/>
        <v>12641</v>
      </c>
      <c r="F45" s="124">
        <f t="shared" si="6"/>
        <v>3.1876454216651457E-3</v>
      </c>
    </row>
    <row r="46" spans="1:6" ht="15.75" x14ac:dyDescent="0.25">
      <c r="A46" s="121">
        <v>6</v>
      </c>
      <c r="B46" s="122" t="s">
        <v>118</v>
      </c>
      <c r="C46" s="119">
        <f t="shared" si="4"/>
        <v>1290323</v>
      </c>
      <c r="D46" s="119">
        <f t="shared" si="4"/>
        <v>1209171</v>
      </c>
      <c r="E46" s="123">
        <f t="shared" si="5"/>
        <v>-81152</v>
      </c>
      <c r="F46" s="124">
        <f t="shared" si="6"/>
        <v>-6.2892779559846637E-2</v>
      </c>
    </row>
    <row r="47" spans="1:6" ht="15.75" x14ac:dyDescent="0.25">
      <c r="A47" s="121">
        <v>7</v>
      </c>
      <c r="B47" s="122" t="s">
        <v>119</v>
      </c>
      <c r="C47" s="119">
        <f t="shared" si="4"/>
        <v>267863533</v>
      </c>
      <c r="D47" s="119">
        <f t="shared" si="4"/>
        <v>311711796</v>
      </c>
      <c r="E47" s="123">
        <f t="shared" si="5"/>
        <v>43848263</v>
      </c>
      <c r="F47" s="124">
        <f t="shared" si="6"/>
        <v>0.16369627664098643</v>
      </c>
    </row>
    <row r="48" spans="1:6" ht="15.75" x14ac:dyDescent="0.25">
      <c r="A48" s="121">
        <v>8</v>
      </c>
      <c r="B48" s="122" t="s">
        <v>120</v>
      </c>
      <c r="C48" s="119">
        <f t="shared" si="4"/>
        <v>5784117</v>
      </c>
      <c r="D48" s="119">
        <f t="shared" si="4"/>
        <v>6132606</v>
      </c>
      <c r="E48" s="123">
        <f t="shared" si="5"/>
        <v>348489</v>
      </c>
      <c r="F48" s="124">
        <f t="shared" si="6"/>
        <v>6.0249299936360211E-2</v>
      </c>
    </row>
    <row r="49" spans="1:6" ht="15.75" x14ac:dyDescent="0.25">
      <c r="A49" s="121">
        <v>9</v>
      </c>
      <c r="B49" s="122" t="s">
        <v>121</v>
      </c>
      <c r="C49" s="119">
        <f t="shared" si="4"/>
        <v>3338268</v>
      </c>
      <c r="D49" s="119">
        <f t="shared" si="4"/>
        <v>4069202</v>
      </c>
      <c r="E49" s="123">
        <f t="shared" si="5"/>
        <v>730934</v>
      </c>
      <c r="F49" s="124">
        <f t="shared" si="6"/>
        <v>0.21895605745254726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498126</v>
      </c>
      <c r="D51" s="119">
        <f t="shared" si="4"/>
        <v>441320</v>
      </c>
      <c r="E51" s="123">
        <f t="shared" si="5"/>
        <v>-56806</v>
      </c>
      <c r="F51" s="124">
        <f t="shared" si="6"/>
        <v>-0.11403941974520503</v>
      </c>
    </row>
    <row r="52" spans="1:6" ht="18.75" customHeight="1" thickBot="1" x14ac:dyDescent="0.3">
      <c r="A52" s="125"/>
      <c r="B52" s="126" t="s">
        <v>128</v>
      </c>
      <c r="C52" s="127">
        <f>SUM(C41:C51)</f>
        <v>764177041</v>
      </c>
      <c r="D52" s="128">
        <f>SUM(D41:D51)</f>
        <v>871015210</v>
      </c>
      <c r="E52" s="127">
        <f t="shared" si="5"/>
        <v>106838169</v>
      </c>
      <c r="F52" s="129">
        <f t="shared" si="6"/>
        <v>0.13980813773231379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63431864</v>
      </c>
      <c r="D57" s="113">
        <v>64050633</v>
      </c>
      <c r="E57" s="113">
        <f t="shared" ref="E57:E68" si="7">D57-C57</f>
        <v>618769</v>
      </c>
      <c r="F57" s="114">
        <f t="shared" ref="F57:F68" si="8">IF(C57=0,0,E57/C57)</f>
        <v>9.754860743174755E-3</v>
      </c>
    </row>
    <row r="58" spans="1:6" x14ac:dyDescent="0.2">
      <c r="A58" s="115">
        <v>2</v>
      </c>
      <c r="B58" s="116" t="s">
        <v>114</v>
      </c>
      <c r="C58" s="113">
        <v>13858997</v>
      </c>
      <c r="D58" s="113">
        <v>15718574</v>
      </c>
      <c r="E58" s="113">
        <f t="shared" si="7"/>
        <v>1859577</v>
      </c>
      <c r="F58" s="114">
        <f t="shared" si="8"/>
        <v>0.13417832473735292</v>
      </c>
    </row>
    <row r="59" spans="1:6" x14ac:dyDescent="0.2">
      <c r="A59" s="115">
        <v>3</v>
      </c>
      <c r="B59" s="116" t="s">
        <v>115</v>
      </c>
      <c r="C59" s="113">
        <v>26840885</v>
      </c>
      <c r="D59" s="113">
        <v>30400390</v>
      </c>
      <c r="E59" s="113">
        <f t="shared" si="7"/>
        <v>3559505</v>
      </c>
      <c r="F59" s="114">
        <f t="shared" si="8"/>
        <v>0.13261503858758755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370931</v>
      </c>
      <c r="D61" s="113">
        <v>402791</v>
      </c>
      <c r="E61" s="113">
        <f t="shared" si="7"/>
        <v>31860</v>
      </c>
      <c r="F61" s="114">
        <f t="shared" si="8"/>
        <v>8.5891985301848592E-2</v>
      </c>
    </row>
    <row r="62" spans="1:6" x14ac:dyDescent="0.2">
      <c r="A62" s="115">
        <v>6</v>
      </c>
      <c r="B62" s="116" t="s">
        <v>118</v>
      </c>
      <c r="C62" s="113">
        <v>253205</v>
      </c>
      <c r="D62" s="113">
        <v>175556</v>
      </c>
      <c r="E62" s="113">
        <f t="shared" si="7"/>
        <v>-77649</v>
      </c>
      <c r="F62" s="114">
        <f t="shared" si="8"/>
        <v>-0.30666456033648626</v>
      </c>
    </row>
    <row r="63" spans="1:6" x14ac:dyDescent="0.2">
      <c r="A63" s="115">
        <v>7</v>
      </c>
      <c r="B63" s="116" t="s">
        <v>119</v>
      </c>
      <c r="C63" s="113">
        <v>37771592</v>
      </c>
      <c r="D63" s="113">
        <v>38438483</v>
      </c>
      <c r="E63" s="113">
        <f t="shared" si="7"/>
        <v>666891</v>
      </c>
      <c r="F63" s="114">
        <f t="shared" si="8"/>
        <v>1.7655888054705238E-2</v>
      </c>
    </row>
    <row r="64" spans="1:6" x14ac:dyDescent="0.2">
      <c r="A64" s="115">
        <v>8</v>
      </c>
      <c r="B64" s="116" t="s">
        <v>120</v>
      </c>
      <c r="C64" s="113">
        <v>1112388</v>
      </c>
      <c r="D64" s="113">
        <v>917468</v>
      </c>
      <c r="E64" s="113">
        <f t="shared" si="7"/>
        <v>-194920</v>
      </c>
      <c r="F64" s="114">
        <f t="shared" si="8"/>
        <v>-0.17522662955731275</v>
      </c>
    </row>
    <row r="65" spans="1:6" x14ac:dyDescent="0.2">
      <c r="A65" s="115">
        <v>9</v>
      </c>
      <c r="B65" s="116" t="s">
        <v>121</v>
      </c>
      <c r="C65" s="113">
        <v>154699</v>
      </c>
      <c r="D65" s="113">
        <v>128016</v>
      </c>
      <c r="E65" s="113">
        <f t="shared" si="7"/>
        <v>-26683</v>
      </c>
      <c r="F65" s="114">
        <f t="shared" si="8"/>
        <v>-0.17248333861240214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38788</v>
      </c>
      <c r="D67" s="113">
        <v>35042</v>
      </c>
      <c r="E67" s="113">
        <f t="shared" si="7"/>
        <v>-3746</v>
      </c>
      <c r="F67" s="114">
        <f t="shared" si="8"/>
        <v>-9.6576260699185318E-2</v>
      </c>
    </row>
    <row r="68" spans="1:6" ht="15.75" x14ac:dyDescent="0.25">
      <c r="A68" s="117"/>
      <c r="B68" s="118" t="s">
        <v>131</v>
      </c>
      <c r="C68" s="119">
        <f>SUM(C57:C67)</f>
        <v>143833349</v>
      </c>
      <c r="D68" s="119">
        <f>SUM(D57:D67)</f>
        <v>150266953</v>
      </c>
      <c r="E68" s="119">
        <f t="shared" si="7"/>
        <v>6433604</v>
      </c>
      <c r="F68" s="120">
        <f t="shared" si="8"/>
        <v>4.472957102597952E-2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38463609</v>
      </c>
      <c r="D70" s="113">
        <v>39943387</v>
      </c>
      <c r="E70" s="113">
        <f t="shared" ref="E70:E81" si="9">D70-C70</f>
        <v>1479778</v>
      </c>
      <c r="F70" s="114">
        <f t="shared" ref="F70:F81" si="10">IF(C70=0,0,E70/C70)</f>
        <v>3.847215688990599E-2</v>
      </c>
    </row>
    <row r="71" spans="1:6" x14ac:dyDescent="0.2">
      <c r="A71" s="115">
        <v>2</v>
      </c>
      <c r="B71" s="116" t="s">
        <v>114</v>
      </c>
      <c r="C71" s="113">
        <v>9036250</v>
      </c>
      <c r="D71" s="113">
        <v>10164044</v>
      </c>
      <c r="E71" s="113">
        <f t="shared" si="9"/>
        <v>1127794</v>
      </c>
      <c r="F71" s="114">
        <f t="shared" si="10"/>
        <v>0.12480774657628994</v>
      </c>
    </row>
    <row r="72" spans="1:6" x14ac:dyDescent="0.2">
      <c r="A72" s="115">
        <v>3</v>
      </c>
      <c r="B72" s="116" t="s">
        <v>115</v>
      </c>
      <c r="C72" s="113">
        <v>36745878</v>
      </c>
      <c r="D72" s="113">
        <v>38640049</v>
      </c>
      <c r="E72" s="113">
        <f t="shared" si="9"/>
        <v>1894171</v>
      </c>
      <c r="F72" s="114">
        <f t="shared" si="10"/>
        <v>5.154784980236423E-2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987633</v>
      </c>
      <c r="D74" s="113">
        <v>880967</v>
      </c>
      <c r="E74" s="113">
        <f t="shared" si="9"/>
        <v>-106666</v>
      </c>
      <c r="F74" s="114">
        <f t="shared" si="10"/>
        <v>-0.10800165648575939</v>
      </c>
    </row>
    <row r="75" spans="1:6" x14ac:dyDescent="0.2">
      <c r="A75" s="115">
        <v>6</v>
      </c>
      <c r="B75" s="116" t="s">
        <v>118</v>
      </c>
      <c r="C75" s="113">
        <v>645945</v>
      </c>
      <c r="D75" s="113">
        <v>329807</v>
      </c>
      <c r="E75" s="113">
        <f t="shared" si="9"/>
        <v>-316138</v>
      </c>
      <c r="F75" s="114">
        <f t="shared" si="10"/>
        <v>-0.4894193778108043</v>
      </c>
    </row>
    <row r="76" spans="1:6" x14ac:dyDescent="0.2">
      <c r="A76" s="115">
        <v>7</v>
      </c>
      <c r="B76" s="116" t="s">
        <v>119</v>
      </c>
      <c r="C76" s="113">
        <v>109187539</v>
      </c>
      <c r="D76" s="113">
        <v>114708152</v>
      </c>
      <c r="E76" s="113">
        <f t="shared" si="9"/>
        <v>5520613</v>
      </c>
      <c r="F76" s="114">
        <f t="shared" si="10"/>
        <v>5.0560833686342177E-2</v>
      </c>
    </row>
    <row r="77" spans="1:6" x14ac:dyDescent="0.2">
      <c r="A77" s="115">
        <v>8</v>
      </c>
      <c r="B77" s="116" t="s">
        <v>120</v>
      </c>
      <c r="C77" s="113">
        <v>3546623</v>
      </c>
      <c r="D77" s="113">
        <v>2039142</v>
      </c>
      <c r="E77" s="113">
        <f t="shared" si="9"/>
        <v>-1507481</v>
      </c>
      <c r="F77" s="114">
        <f t="shared" si="10"/>
        <v>-0.42504686852817453</v>
      </c>
    </row>
    <row r="78" spans="1:6" x14ac:dyDescent="0.2">
      <c r="A78" s="115">
        <v>9</v>
      </c>
      <c r="B78" s="116" t="s">
        <v>121</v>
      </c>
      <c r="C78" s="113">
        <v>705866</v>
      </c>
      <c r="D78" s="113">
        <v>765058</v>
      </c>
      <c r="E78" s="113">
        <f t="shared" si="9"/>
        <v>59192</v>
      </c>
      <c r="F78" s="114">
        <f t="shared" si="10"/>
        <v>8.385727602689462E-2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52912</v>
      </c>
      <c r="D80" s="113">
        <v>8524</v>
      </c>
      <c r="E80" s="113">
        <f t="shared" si="9"/>
        <v>-44388</v>
      </c>
      <c r="F80" s="114">
        <f t="shared" si="10"/>
        <v>-0.83890232839431511</v>
      </c>
    </row>
    <row r="81" spans="1:6" ht="15.75" x14ac:dyDescent="0.25">
      <c r="A81" s="117"/>
      <c r="B81" s="118" t="s">
        <v>133</v>
      </c>
      <c r="C81" s="119">
        <f>SUM(C70:C80)</f>
        <v>199372255</v>
      </c>
      <c r="D81" s="119">
        <f>SUM(D70:D80)</f>
        <v>207479130</v>
      </c>
      <c r="E81" s="119">
        <f t="shared" si="9"/>
        <v>8106875</v>
      </c>
      <c r="F81" s="120">
        <f t="shared" si="10"/>
        <v>4.0662001841730688E-2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101895473</v>
      </c>
      <c r="D84" s="119">
        <f t="shared" si="11"/>
        <v>103994020</v>
      </c>
      <c r="E84" s="119">
        <f t="shared" ref="E84:E95" si="12">D84-C84</f>
        <v>2098547</v>
      </c>
      <c r="F84" s="120">
        <f t="shared" ref="F84:F95" si="13">IF(C84=0,0,E84/C84)</f>
        <v>2.0595095524999427E-2</v>
      </c>
    </row>
    <row r="85" spans="1:6" ht="15.75" x14ac:dyDescent="0.25">
      <c r="A85" s="130">
        <v>2</v>
      </c>
      <c r="B85" s="122" t="s">
        <v>114</v>
      </c>
      <c r="C85" s="119">
        <f t="shared" si="11"/>
        <v>22895247</v>
      </c>
      <c r="D85" s="119">
        <f t="shared" si="11"/>
        <v>25882618</v>
      </c>
      <c r="E85" s="119">
        <f t="shared" si="12"/>
        <v>2987371</v>
      </c>
      <c r="F85" s="120">
        <f t="shared" si="13"/>
        <v>0.13047996381082938</v>
      </c>
    </row>
    <row r="86" spans="1:6" ht="15.75" x14ac:dyDescent="0.25">
      <c r="A86" s="130">
        <v>3</v>
      </c>
      <c r="B86" s="122" t="s">
        <v>115</v>
      </c>
      <c r="C86" s="119">
        <f t="shared" si="11"/>
        <v>63586763</v>
      </c>
      <c r="D86" s="119">
        <f t="shared" si="11"/>
        <v>69040439</v>
      </c>
      <c r="E86" s="119">
        <f t="shared" si="12"/>
        <v>5453676</v>
      </c>
      <c r="F86" s="120">
        <f t="shared" si="13"/>
        <v>8.5767473334033381E-2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1358564</v>
      </c>
      <c r="D88" s="119">
        <f t="shared" si="11"/>
        <v>1283758</v>
      </c>
      <c r="E88" s="119">
        <f t="shared" si="12"/>
        <v>-74806</v>
      </c>
      <c r="F88" s="120">
        <f t="shared" si="13"/>
        <v>-5.5062551340974736E-2</v>
      </c>
    </row>
    <row r="89" spans="1:6" ht="15.75" x14ac:dyDescent="0.25">
      <c r="A89" s="130">
        <v>6</v>
      </c>
      <c r="B89" s="122" t="s">
        <v>118</v>
      </c>
      <c r="C89" s="119">
        <f t="shared" si="11"/>
        <v>899150</v>
      </c>
      <c r="D89" s="119">
        <f t="shared" si="11"/>
        <v>505363</v>
      </c>
      <c r="E89" s="119">
        <f t="shared" si="12"/>
        <v>-393787</v>
      </c>
      <c r="F89" s="120">
        <f t="shared" si="13"/>
        <v>-0.43795473502752602</v>
      </c>
    </row>
    <row r="90" spans="1:6" ht="15.75" x14ac:dyDescent="0.25">
      <c r="A90" s="130">
        <v>7</v>
      </c>
      <c r="B90" s="122" t="s">
        <v>119</v>
      </c>
      <c r="C90" s="119">
        <f t="shared" si="11"/>
        <v>146959131</v>
      </c>
      <c r="D90" s="119">
        <f t="shared" si="11"/>
        <v>153146635</v>
      </c>
      <c r="E90" s="119">
        <f t="shared" si="12"/>
        <v>6187504</v>
      </c>
      <c r="F90" s="120">
        <f t="shared" si="13"/>
        <v>4.2103569597182769E-2</v>
      </c>
    </row>
    <row r="91" spans="1:6" ht="15.75" x14ac:dyDescent="0.25">
      <c r="A91" s="130">
        <v>8</v>
      </c>
      <c r="B91" s="122" t="s">
        <v>120</v>
      </c>
      <c r="C91" s="119">
        <f t="shared" si="11"/>
        <v>4659011</v>
      </c>
      <c r="D91" s="119">
        <f t="shared" si="11"/>
        <v>2956610</v>
      </c>
      <c r="E91" s="119">
        <f t="shared" si="12"/>
        <v>-1702401</v>
      </c>
      <c r="F91" s="120">
        <f t="shared" si="13"/>
        <v>-0.36539965241550193</v>
      </c>
    </row>
    <row r="92" spans="1:6" ht="15.75" x14ac:dyDescent="0.25">
      <c r="A92" s="130">
        <v>9</v>
      </c>
      <c r="B92" s="122" t="s">
        <v>121</v>
      </c>
      <c r="C92" s="119">
        <f t="shared" si="11"/>
        <v>860565</v>
      </c>
      <c r="D92" s="119">
        <f t="shared" si="11"/>
        <v>893074</v>
      </c>
      <c r="E92" s="119">
        <f t="shared" si="12"/>
        <v>32509</v>
      </c>
      <c r="F92" s="120">
        <f t="shared" si="13"/>
        <v>3.7776344610808019E-2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91700</v>
      </c>
      <c r="D94" s="119">
        <f t="shared" si="11"/>
        <v>43566</v>
      </c>
      <c r="E94" s="119">
        <f t="shared" si="12"/>
        <v>-48134</v>
      </c>
      <c r="F94" s="120">
        <f t="shared" si="13"/>
        <v>-0.52490730643402395</v>
      </c>
    </row>
    <row r="95" spans="1:6" ht="18.75" customHeight="1" thickBot="1" x14ac:dyDescent="0.3">
      <c r="A95" s="131"/>
      <c r="B95" s="132" t="s">
        <v>134</v>
      </c>
      <c r="C95" s="128">
        <f>SUM(C84:C94)</f>
        <v>343205604</v>
      </c>
      <c r="D95" s="128">
        <f>SUM(D84:D94)</f>
        <v>357746083</v>
      </c>
      <c r="E95" s="128">
        <f t="shared" si="12"/>
        <v>14540479</v>
      </c>
      <c r="F95" s="129">
        <f t="shared" si="13"/>
        <v>4.2366671262162724E-2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3177</v>
      </c>
      <c r="D100" s="133">
        <v>3155</v>
      </c>
      <c r="E100" s="133">
        <f t="shared" ref="E100:E111" si="14">D100-C100</f>
        <v>-22</v>
      </c>
      <c r="F100" s="114">
        <f t="shared" ref="F100:F111" si="15">IF(C100=0,0,E100/C100)</f>
        <v>-6.9247717972930438E-3</v>
      </c>
    </row>
    <row r="101" spans="1:6" x14ac:dyDescent="0.2">
      <c r="A101" s="115">
        <v>2</v>
      </c>
      <c r="B101" s="116" t="s">
        <v>114</v>
      </c>
      <c r="C101" s="133">
        <v>819</v>
      </c>
      <c r="D101" s="133">
        <v>862</v>
      </c>
      <c r="E101" s="133">
        <f t="shared" si="14"/>
        <v>43</v>
      </c>
      <c r="F101" s="114">
        <f t="shared" si="15"/>
        <v>5.2503052503052504E-2</v>
      </c>
    </row>
    <row r="102" spans="1:6" x14ac:dyDescent="0.2">
      <c r="A102" s="115">
        <v>3</v>
      </c>
      <c r="B102" s="116" t="s">
        <v>115</v>
      </c>
      <c r="C102" s="133">
        <v>2300</v>
      </c>
      <c r="D102" s="133">
        <v>2394</v>
      </c>
      <c r="E102" s="133">
        <f t="shared" si="14"/>
        <v>94</v>
      </c>
      <c r="F102" s="114">
        <f t="shared" si="15"/>
        <v>4.0869565217391303E-2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43</v>
      </c>
      <c r="D104" s="133">
        <v>39</v>
      </c>
      <c r="E104" s="133">
        <f t="shared" si="14"/>
        <v>-4</v>
      </c>
      <c r="F104" s="114">
        <f t="shared" si="15"/>
        <v>-9.3023255813953487E-2</v>
      </c>
    </row>
    <row r="105" spans="1:6" x14ac:dyDescent="0.2">
      <c r="A105" s="115">
        <v>6</v>
      </c>
      <c r="B105" s="116" t="s">
        <v>118</v>
      </c>
      <c r="C105" s="133">
        <v>12</v>
      </c>
      <c r="D105" s="133">
        <v>14</v>
      </c>
      <c r="E105" s="133">
        <f t="shared" si="14"/>
        <v>2</v>
      </c>
      <c r="F105" s="114">
        <f t="shared" si="15"/>
        <v>0.16666666666666666</v>
      </c>
    </row>
    <row r="106" spans="1:6" x14ac:dyDescent="0.2">
      <c r="A106" s="115">
        <v>7</v>
      </c>
      <c r="B106" s="116" t="s">
        <v>119</v>
      </c>
      <c r="C106" s="133">
        <v>2432</v>
      </c>
      <c r="D106" s="133">
        <v>2549</v>
      </c>
      <c r="E106" s="133">
        <f t="shared" si="14"/>
        <v>117</v>
      </c>
      <c r="F106" s="114">
        <f t="shared" si="15"/>
        <v>4.8108552631578948E-2</v>
      </c>
    </row>
    <row r="107" spans="1:6" x14ac:dyDescent="0.2">
      <c r="A107" s="115">
        <v>8</v>
      </c>
      <c r="B107" s="116" t="s">
        <v>120</v>
      </c>
      <c r="C107" s="133">
        <v>30</v>
      </c>
      <c r="D107" s="133">
        <v>32</v>
      </c>
      <c r="E107" s="133">
        <f t="shared" si="14"/>
        <v>2</v>
      </c>
      <c r="F107" s="114">
        <f t="shared" si="15"/>
        <v>6.6666666666666666E-2</v>
      </c>
    </row>
    <row r="108" spans="1:6" x14ac:dyDescent="0.2">
      <c r="A108" s="115">
        <v>9</v>
      </c>
      <c r="B108" s="116" t="s">
        <v>121</v>
      </c>
      <c r="C108" s="133">
        <v>21</v>
      </c>
      <c r="D108" s="133">
        <v>22</v>
      </c>
      <c r="E108" s="133">
        <f t="shared" si="14"/>
        <v>1</v>
      </c>
      <c r="F108" s="114">
        <f t="shared" si="15"/>
        <v>4.7619047619047616E-2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12</v>
      </c>
      <c r="D110" s="133">
        <v>12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8846</v>
      </c>
      <c r="D111" s="134">
        <f>SUM(D100:D110)</f>
        <v>9079</v>
      </c>
      <c r="E111" s="134">
        <f t="shared" si="14"/>
        <v>233</v>
      </c>
      <c r="F111" s="120">
        <f t="shared" si="15"/>
        <v>2.6339588514582863E-2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15483</v>
      </c>
      <c r="D113" s="133">
        <v>14572</v>
      </c>
      <c r="E113" s="133">
        <f t="shared" ref="E113:E124" si="16">D113-C113</f>
        <v>-911</v>
      </c>
      <c r="F113" s="114">
        <f t="shared" ref="F113:F124" si="17">IF(C113=0,0,E113/C113)</f>
        <v>-5.8838726345023573E-2</v>
      </c>
    </row>
    <row r="114" spans="1:6" x14ac:dyDescent="0.2">
      <c r="A114" s="115">
        <v>2</v>
      </c>
      <c r="B114" s="116" t="s">
        <v>114</v>
      </c>
      <c r="C114" s="133">
        <v>3747</v>
      </c>
      <c r="D114" s="133">
        <v>4040</v>
      </c>
      <c r="E114" s="133">
        <f t="shared" si="16"/>
        <v>293</v>
      </c>
      <c r="F114" s="114">
        <f t="shared" si="17"/>
        <v>7.8195890045369629E-2</v>
      </c>
    </row>
    <row r="115" spans="1:6" x14ac:dyDescent="0.2">
      <c r="A115" s="115">
        <v>3</v>
      </c>
      <c r="B115" s="116" t="s">
        <v>115</v>
      </c>
      <c r="C115" s="133">
        <v>9594</v>
      </c>
      <c r="D115" s="133">
        <v>9373</v>
      </c>
      <c r="E115" s="133">
        <f t="shared" si="16"/>
        <v>-221</v>
      </c>
      <c r="F115" s="114">
        <f t="shared" si="17"/>
        <v>-2.3035230352303523E-2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154</v>
      </c>
      <c r="D117" s="133">
        <v>129</v>
      </c>
      <c r="E117" s="133">
        <f t="shared" si="16"/>
        <v>-25</v>
      </c>
      <c r="F117" s="114">
        <f t="shared" si="17"/>
        <v>-0.16233766233766234</v>
      </c>
    </row>
    <row r="118" spans="1:6" x14ac:dyDescent="0.2">
      <c r="A118" s="115">
        <v>6</v>
      </c>
      <c r="B118" s="116" t="s">
        <v>118</v>
      </c>
      <c r="C118" s="133">
        <v>49</v>
      </c>
      <c r="D118" s="133">
        <v>34</v>
      </c>
      <c r="E118" s="133">
        <f t="shared" si="16"/>
        <v>-15</v>
      </c>
      <c r="F118" s="114">
        <f t="shared" si="17"/>
        <v>-0.30612244897959184</v>
      </c>
    </row>
    <row r="119" spans="1:6" x14ac:dyDescent="0.2">
      <c r="A119" s="115">
        <v>7</v>
      </c>
      <c r="B119" s="116" t="s">
        <v>119</v>
      </c>
      <c r="C119" s="133">
        <v>9166</v>
      </c>
      <c r="D119" s="133">
        <v>9420</v>
      </c>
      <c r="E119" s="133">
        <f t="shared" si="16"/>
        <v>254</v>
      </c>
      <c r="F119" s="114">
        <f t="shared" si="17"/>
        <v>2.7711106262273619E-2</v>
      </c>
    </row>
    <row r="120" spans="1:6" x14ac:dyDescent="0.2">
      <c r="A120" s="115">
        <v>8</v>
      </c>
      <c r="B120" s="116" t="s">
        <v>120</v>
      </c>
      <c r="C120" s="133">
        <v>58</v>
      </c>
      <c r="D120" s="133">
        <v>71</v>
      </c>
      <c r="E120" s="133">
        <f t="shared" si="16"/>
        <v>13</v>
      </c>
      <c r="F120" s="114">
        <f t="shared" si="17"/>
        <v>0.22413793103448276</v>
      </c>
    </row>
    <row r="121" spans="1:6" x14ac:dyDescent="0.2">
      <c r="A121" s="115">
        <v>9</v>
      </c>
      <c r="B121" s="116" t="s">
        <v>121</v>
      </c>
      <c r="C121" s="133">
        <v>93</v>
      </c>
      <c r="D121" s="133">
        <v>61</v>
      </c>
      <c r="E121" s="133">
        <f t="shared" si="16"/>
        <v>-32</v>
      </c>
      <c r="F121" s="114">
        <f t="shared" si="17"/>
        <v>-0.34408602150537637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40</v>
      </c>
      <c r="D123" s="133">
        <v>46</v>
      </c>
      <c r="E123" s="133">
        <f t="shared" si="16"/>
        <v>6</v>
      </c>
      <c r="F123" s="114">
        <f t="shared" si="17"/>
        <v>0.15</v>
      </c>
    </row>
    <row r="124" spans="1:6" ht="15.75" x14ac:dyDescent="0.25">
      <c r="A124" s="117"/>
      <c r="B124" s="118" t="s">
        <v>140</v>
      </c>
      <c r="C124" s="134">
        <f>SUM(C113:C123)</f>
        <v>38384</v>
      </c>
      <c r="D124" s="134">
        <f>SUM(D113:D123)</f>
        <v>37746</v>
      </c>
      <c r="E124" s="134">
        <f t="shared" si="16"/>
        <v>-638</v>
      </c>
      <c r="F124" s="120">
        <f t="shared" si="17"/>
        <v>-1.6621508962067526E-2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93536</v>
      </c>
      <c r="D126" s="133">
        <v>99209</v>
      </c>
      <c r="E126" s="133">
        <f t="shared" ref="E126:E137" si="18">D126-C126</f>
        <v>5673</v>
      </c>
      <c r="F126" s="114">
        <f t="shared" ref="F126:F137" si="19">IF(C126=0,0,E126/C126)</f>
        <v>6.0650444748546015E-2</v>
      </c>
    </row>
    <row r="127" spans="1:6" x14ac:dyDescent="0.2">
      <c r="A127" s="115">
        <v>2</v>
      </c>
      <c r="B127" s="116" t="s">
        <v>114</v>
      </c>
      <c r="C127" s="133">
        <v>26705</v>
      </c>
      <c r="D127" s="133">
        <v>31275</v>
      </c>
      <c r="E127" s="133">
        <f t="shared" si="18"/>
        <v>4570</v>
      </c>
      <c r="F127" s="114">
        <f t="shared" si="19"/>
        <v>0.1711290020595394</v>
      </c>
    </row>
    <row r="128" spans="1:6" x14ac:dyDescent="0.2">
      <c r="A128" s="115">
        <v>3</v>
      </c>
      <c r="B128" s="116" t="s">
        <v>115</v>
      </c>
      <c r="C128" s="133">
        <v>82249</v>
      </c>
      <c r="D128" s="133">
        <v>89487</v>
      </c>
      <c r="E128" s="133">
        <f t="shared" si="18"/>
        <v>7238</v>
      </c>
      <c r="F128" s="114">
        <f t="shared" si="19"/>
        <v>8.8001069921822758E-2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2096</v>
      </c>
      <c r="D130" s="133">
        <v>2424</v>
      </c>
      <c r="E130" s="133">
        <f t="shared" si="18"/>
        <v>328</v>
      </c>
      <c r="F130" s="114">
        <f t="shared" si="19"/>
        <v>0.15648854961832062</v>
      </c>
    </row>
    <row r="131" spans="1:6" x14ac:dyDescent="0.2">
      <c r="A131" s="115">
        <v>6</v>
      </c>
      <c r="B131" s="116" t="s">
        <v>118</v>
      </c>
      <c r="C131" s="133">
        <v>758</v>
      </c>
      <c r="D131" s="133">
        <v>828</v>
      </c>
      <c r="E131" s="133">
        <f t="shared" si="18"/>
        <v>70</v>
      </c>
      <c r="F131" s="114">
        <f t="shared" si="19"/>
        <v>9.2348284960422161E-2</v>
      </c>
    </row>
    <row r="132" spans="1:6" x14ac:dyDescent="0.2">
      <c r="A132" s="115">
        <v>7</v>
      </c>
      <c r="B132" s="116" t="s">
        <v>119</v>
      </c>
      <c r="C132" s="133">
        <v>151672</v>
      </c>
      <c r="D132" s="133">
        <v>211676</v>
      </c>
      <c r="E132" s="133">
        <f t="shared" si="18"/>
        <v>60004</v>
      </c>
      <c r="F132" s="114">
        <f t="shared" si="19"/>
        <v>0.39561685742918928</v>
      </c>
    </row>
    <row r="133" spans="1:6" x14ac:dyDescent="0.2">
      <c r="A133" s="115">
        <v>8</v>
      </c>
      <c r="B133" s="116" t="s">
        <v>120</v>
      </c>
      <c r="C133" s="133">
        <v>2130</v>
      </c>
      <c r="D133" s="133">
        <v>2077</v>
      </c>
      <c r="E133" s="133">
        <f t="shared" si="18"/>
        <v>-53</v>
      </c>
      <c r="F133" s="114">
        <f t="shared" si="19"/>
        <v>-2.4882629107981221E-2</v>
      </c>
    </row>
    <row r="134" spans="1:6" x14ac:dyDescent="0.2">
      <c r="A134" s="115">
        <v>9</v>
      </c>
      <c r="B134" s="116" t="s">
        <v>121</v>
      </c>
      <c r="C134" s="133">
        <v>4079</v>
      </c>
      <c r="D134" s="133">
        <v>4860</v>
      </c>
      <c r="E134" s="133">
        <f t="shared" si="18"/>
        <v>781</v>
      </c>
      <c r="F134" s="114">
        <f t="shared" si="19"/>
        <v>0.19146849718068154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899</v>
      </c>
      <c r="D136" s="133">
        <v>154</v>
      </c>
      <c r="E136" s="133">
        <f t="shared" si="18"/>
        <v>-745</v>
      </c>
      <c r="F136" s="114">
        <f t="shared" si="19"/>
        <v>-0.82869855394883207</v>
      </c>
    </row>
    <row r="137" spans="1:6" ht="15.75" x14ac:dyDescent="0.25">
      <c r="A137" s="117"/>
      <c r="B137" s="118" t="s">
        <v>142</v>
      </c>
      <c r="C137" s="134">
        <f>SUM(C126:C136)</f>
        <v>364124</v>
      </c>
      <c r="D137" s="134">
        <f>SUM(D126:D136)</f>
        <v>441990</v>
      </c>
      <c r="E137" s="134">
        <f t="shared" si="18"/>
        <v>77866</v>
      </c>
      <c r="F137" s="120">
        <f t="shared" si="19"/>
        <v>0.21384473421142247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12731194</v>
      </c>
      <c r="D142" s="113">
        <v>14441431</v>
      </c>
      <c r="E142" s="113">
        <f t="shared" ref="E142:E153" si="20">D142-C142</f>
        <v>1710237</v>
      </c>
      <c r="F142" s="114">
        <f t="shared" ref="F142:F153" si="21">IF(C142=0,0,E142/C142)</f>
        <v>0.13433437586451044</v>
      </c>
    </row>
    <row r="143" spans="1:6" x14ac:dyDescent="0.2">
      <c r="A143" s="115">
        <v>2</v>
      </c>
      <c r="B143" s="116" t="s">
        <v>114</v>
      </c>
      <c r="C143" s="113">
        <v>3563942</v>
      </c>
      <c r="D143" s="113">
        <v>4572677</v>
      </c>
      <c r="E143" s="113">
        <f t="shared" si="20"/>
        <v>1008735</v>
      </c>
      <c r="F143" s="114">
        <f t="shared" si="21"/>
        <v>0.28303911792054975</v>
      </c>
    </row>
    <row r="144" spans="1:6" x14ac:dyDescent="0.2">
      <c r="A144" s="115">
        <v>3</v>
      </c>
      <c r="B144" s="116" t="s">
        <v>115</v>
      </c>
      <c r="C144" s="113">
        <v>13710835</v>
      </c>
      <c r="D144" s="113">
        <v>15723985</v>
      </c>
      <c r="E144" s="113">
        <f t="shared" si="20"/>
        <v>2013150</v>
      </c>
      <c r="F144" s="114">
        <f t="shared" si="21"/>
        <v>0.14682913185083185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212162</v>
      </c>
      <c r="D146" s="113">
        <v>259227</v>
      </c>
      <c r="E146" s="113">
        <f t="shared" si="20"/>
        <v>47065</v>
      </c>
      <c r="F146" s="114">
        <f t="shared" si="21"/>
        <v>0.22183520140270171</v>
      </c>
    </row>
    <row r="147" spans="1:6" x14ac:dyDescent="0.2">
      <c r="A147" s="115">
        <v>6</v>
      </c>
      <c r="B147" s="116" t="s">
        <v>118</v>
      </c>
      <c r="C147" s="113">
        <v>224315</v>
      </c>
      <c r="D147" s="113">
        <v>287045</v>
      </c>
      <c r="E147" s="113">
        <f t="shared" si="20"/>
        <v>62730</v>
      </c>
      <c r="F147" s="114">
        <f t="shared" si="21"/>
        <v>0.27965138309965898</v>
      </c>
    </row>
    <row r="148" spans="1:6" x14ac:dyDescent="0.2">
      <c r="A148" s="115">
        <v>7</v>
      </c>
      <c r="B148" s="116" t="s">
        <v>119</v>
      </c>
      <c r="C148" s="113">
        <v>20309240</v>
      </c>
      <c r="D148" s="113">
        <v>22745103</v>
      </c>
      <c r="E148" s="113">
        <f t="shared" si="20"/>
        <v>2435863</v>
      </c>
      <c r="F148" s="114">
        <f t="shared" si="21"/>
        <v>0.11993865846284746</v>
      </c>
    </row>
    <row r="149" spans="1:6" x14ac:dyDescent="0.2">
      <c r="A149" s="115">
        <v>8</v>
      </c>
      <c r="B149" s="116" t="s">
        <v>120</v>
      </c>
      <c r="C149" s="113">
        <v>941858</v>
      </c>
      <c r="D149" s="113">
        <v>930268</v>
      </c>
      <c r="E149" s="113">
        <f t="shared" si="20"/>
        <v>-11590</v>
      </c>
      <c r="F149" s="114">
        <f t="shared" si="21"/>
        <v>-1.2305464305659665E-2</v>
      </c>
    </row>
    <row r="150" spans="1:6" x14ac:dyDescent="0.2">
      <c r="A150" s="115">
        <v>9</v>
      </c>
      <c r="B150" s="116" t="s">
        <v>121</v>
      </c>
      <c r="C150" s="113">
        <v>1450217</v>
      </c>
      <c r="D150" s="113">
        <v>1753704</v>
      </c>
      <c r="E150" s="113">
        <f t="shared" si="20"/>
        <v>303487</v>
      </c>
      <c r="F150" s="114">
        <f t="shared" si="21"/>
        <v>0.20927006096329032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144543</v>
      </c>
      <c r="D152" s="113">
        <v>141505</v>
      </c>
      <c r="E152" s="113">
        <f t="shared" si="20"/>
        <v>-3038</v>
      </c>
      <c r="F152" s="114">
        <f t="shared" si="21"/>
        <v>-2.1017966971766187E-2</v>
      </c>
    </row>
    <row r="153" spans="1:6" ht="33.75" customHeight="1" x14ac:dyDescent="0.25">
      <c r="A153" s="117"/>
      <c r="B153" s="118" t="s">
        <v>146</v>
      </c>
      <c r="C153" s="119">
        <f>SUM(C142:C152)</f>
        <v>53288306</v>
      </c>
      <c r="D153" s="119">
        <f>SUM(D142:D152)</f>
        <v>60854945</v>
      </c>
      <c r="E153" s="119">
        <f t="shared" si="20"/>
        <v>7566639</v>
      </c>
      <c r="F153" s="120">
        <f t="shared" si="21"/>
        <v>0.1419943617648495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2938150</v>
      </c>
      <c r="D155" s="113">
        <v>2996649</v>
      </c>
      <c r="E155" s="113">
        <f t="shared" ref="E155:E166" si="22">D155-C155</f>
        <v>58499</v>
      </c>
      <c r="F155" s="114">
        <f t="shared" ref="F155:F166" si="23">IF(C155=0,0,E155/C155)</f>
        <v>1.9910147541820532E-2</v>
      </c>
    </row>
    <row r="156" spans="1:6" x14ac:dyDescent="0.2">
      <c r="A156" s="115">
        <v>2</v>
      </c>
      <c r="B156" s="116" t="s">
        <v>114</v>
      </c>
      <c r="C156" s="113">
        <v>784741</v>
      </c>
      <c r="D156" s="113">
        <v>932592</v>
      </c>
      <c r="E156" s="113">
        <f t="shared" si="22"/>
        <v>147851</v>
      </c>
      <c r="F156" s="114">
        <f t="shared" si="23"/>
        <v>0.1884073853666369</v>
      </c>
    </row>
    <row r="157" spans="1:6" x14ac:dyDescent="0.2">
      <c r="A157" s="115">
        <v>3</v>
      </c>
      <c r="B157" s="116" t="s">
        <v>115</v>
      </c>
      <c r="C157" s="113">
        <v>2522742</v>
      </c>
      <c r="D157" s="113">
        <v>2728481</v>
      </c>
      <c r="E157" s="113">
        <f t="shared" si="22"/>
        <v>205739</v>
      </c>
      <c r="F157" s="114">
        <f t="shared" si="23"/>
        <v>8.1553722100793508E-2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43868</v>
      </c>
      <c r="D159" s="113">
        <v>50533</v>
      </c>
      <c r="E159" s="113">
        <f t="shared" si="22"/>
        <v>6665</v>
      </c>
      <c r="F159" s="114">
        <f t="shared" si="23"/>
        <v>0.15193307194310204</v>
      </c>
    </row>
    <row r="160" spans="1:6" x14ac:dyDescent="0.2">
      <c r="A160" s="115">
        <v>6</v>
      </c>
      <c r="B160" s="116" t="s">
        <v>118</v>
      </c>
      <c r="C160" s="113">
        <v>108589</v>
      </c>
      <c r="D160" s="113">
        <v>116165</v>
      </c>
      <c r="E160" s="113">
        <f t="shared" si="22"/>
        <v>7576</v>
      </c>
      <c r="F160" s="114">
        <f t="shared" si="23"/>
        <v>6.9767656024090838E-2</v>
      </c>
    </row>
    <row r="161" spans="1:6" x14ac:dyDescent="0.2">
      <c r="A161" s="115">
        <v>7</v>
      </c>
      <c r="B161" s="116" t="s">
        <v>119</v>
      </c>
      <c r="C161" s="113">
        <v>9285062</v>
      </c>
      <c r="D161" s="113">
        <v>9878773</v>
      </c>
      <c r="E161" s="113">
        <f t="shared" si="22"/>
        <v>593711</v>
      </c>
      <c r="F161" s="114">
        <f t="shared" si="23"/>
        <v>6.3942599413983447E-2</v>
      </c>
    </row>
    <row r="162" spans="1:6" x14ac:dyDescent="0.2">
      <c r="A162" s="115">
        <v>8</v>
      </c>
      <c r="B162" s="116" t="s">
        <v>120</v>
      </c>
      <c r="C162" s="113">
        <v>606390</v>
      </c>
      <c r="D162" s="113">
        <v>425940</v>
      </c>
      <c r="E162" s="113">
        <f t="shared" si="22"/>
        <v>-180450</v>
      </c>
      <c r="F162" s="114">
        <f t="shared" si="23"/>
        <v>-0.29758076485430168</v>
      </c>
    </row>
    <row r="163" spans="1:6" x14ac:dyDescent="0.2">
      <c r="A163" s="115">
        <v>9</v>
      </c>
      <c r="B163" s="116" t="s">
        <v>121</v>
      </c>
      <c r="C163" s="113">
        <v>121996</v>
      </c>
      <c r="D163" s="113">
        <v>109547</v>
      </c>
      <c r="E163" s="113">
        <f t="shared" si="22"/>
        <v>-12449</v>
      </c>
      <c r="F163" s="114">
        <f t="shared" si="23"/>
        <v>-0.10204432932227286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3851</v>
      </c>
      <c r="D165" s="113">
        <v>7597</v>
      </c>
      <c r="E165" s="113">
        <f t="shared" si="22"/>
        <v>3746</v>
      </c>
      <c r="F165" s="114">
        <f t="shared" si="23"/>
        <v>0.97273435471306158</v>
      </c>
    </row>
    <row r="166" spans="1:6" ht="33.75" customHeight="1" x14ac:dyDescent="0.25">
      <c r="A166" s="117"/>
      <c r="B166" s="118" t="s">
        <v>148</v>
      </c>
      <c r="C166" s="119">
        <f>SUM(C155:C165)</f>
        <v>16415389</v>
      </c>
      <c r="D166" s="119">
        <f>SUM(D155:D165)</f>
        <v>17246277</v>
      </c>
      <c r="E166" s="119">
        <f t="shared" si="22"/>
        <v>830888</v>
      </c>
      <c r="F166" s="120">
        <f t="shared" si="23"/>
        <v>5.0616406348944883E-2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5063</v>
      </c>
      <c r="D168" s="133">
        <v>5149</v>
      </c>
      <c r="E168" s="133">
        <f t="shared" ref="E168:E179" si="24">D168-C168</f>
        <v>86</v>
      </c>
      <c r="F168" s="114">
        <f t="shared" ref="F168:F179" si="25">IF(C168=0,0,E168/C168)</f>
        <v>1.6985976693659886E-2</v>
      </c>
    </row>
    <row r="169" spans="1:6" x14ac:dyDescent="0.2">
      <c r="A169" s="115">
        <v>2</v>
      </c>
      <c r="B169" s="116" t="s">
        <v>114</v>
      </c>
      <c r="C169" s="133">
        <v>1458</v>
      </c>
      <c r="D169" s="133">
        <v>1678</v>
      </c>
      <c r="E169" s="133">
        <f t="shared" si="24"/>
        <v>220</v>
      </c>
      <c r="F169" s="114">
        <f t="shared" si="25"/>
        <v>0.15089163237311384</v>
      </c>
    </row>
    <row r="170" spans="1:6" x14ac:dyDescent="0.2">
      <c r="A170" s="115">
        <v>3</v>
      </c>
      <c r="B170" s="116" t="s">
        <v>115</v>
      </c>
      <c r="C170" s="133">
        <v>7464</v>
      </c>
      <c r="D170" s="133">
        <v>7438</v>
      </c>
      <c r="E170" s="133">
        <f t="shared" si="24"/>
        <v>-26</v>
      </c>
      <c r="F170" s="114">
        <f t="shared" si="25"/>
        <v>-3.4833869239013935E-3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124</v>
      </c>
      <c r="D172" s="133">
        <v>128</v>
      </c>
      <c r="E172" s="133">
        <f t="shared" si="24"/>
        <v>4</v>
      </c>
      <c r="F172" s="114">
        <f t="shared" si="25"/>
        <v>3.2258064516129031E-2</v>
      </c>
    </row>
    <row r="173" spans="1:6" x14ac:dyDescent="0.2">
      <c r="A173" s="115">
        <v>6</v>
      </c>
      <c r="B173" s="116" t="s">
        <v>118</v>
      </c>
      <c r="C173" s="133">
        <v>114</v>
      </c>
      <c r="D173" s="133">
        <v>143</v>
      </c>
      <c r="E173" s="133">
        <f t="shared" si="24"/>
        <v>29</v>
      </c>
      <c r="F173" s="114">
        <f t="shared" si="25"/>
        <v>0.25438596491228072</v>
      </c>
    </row>
    <row r="174" spans="1:6" x14ac:dyDescent="0.2">
      <c r="A174" s="115">
        <v>7</v>
      </c>
      <c r="B174" s="116" t="s">
        <v>119</v>
      </c>
      <c r="C174" s="133">
        <v>9647</v>
      </c>
      <c r="D174" s="133">
        <v>9654</v>
      </c>
      <c r="E174" s="133">
        <f t="shared" si="24"/>
        <v>7</v>
      </c>
      <c r="F174" s="114">
        <f t="shared" si="25"/>
        <v>7.2561418057427176E-4</v>
      </c>
    </row>
    <row r="175" spans="1:6" x14ac:dyDescent="0.2">
      <c r="A175" s="115">
        <v>8</v>
      </c>
      <c r="B175" s="116" t="s">
        <v>120</v>
      </c>
      <c r="C175" s="133">
        <v>608</v>
      </c>
      <c r="D175" s="133">
        <v>567</v>
      </c>
      <c r="E175" s="133">
        <f t="shared" si="24"/>
        <v>-41</v>
      </c>
      <c r="F175" s="114">
        <f t="shared" si="25"/>
        <v>-6.7434210526315791E-2</v>
      </c>
    </row>
    <row r="176" spans="1:6" x14ac:dyDescent="0.2">
      <c r="A176" s="115">
        <v>9</v>
      </c>
      <c r="B176" s="116" t="s">
        <v>121</v>
      </c>
      <c r="C176" s="133">
        <v>804</v>
      </c>
      <c r="D176" s="133">
        <v>856</v>
      </c>
      <c r="E176" s="133">
        <f t="shared" si="24"/>
        <v>52</v>
      </c>
      <c r="F176" s="114">
        <f t="shared" si="25"/>
        <v>6.4676616915422883E-2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88</v>
      </c>
      <c r="D178" s="133">
        <v>73</v>
      </c>
      <c r="E178" s="133">
        <f t="shared" si="24"/>
        <v>-15</v>
      </c>
      <c r="F178" s="114">
        <f t="shared" si="25"/>
        <v>-0.17045454545454544</v>
      </c>
    </row>
    <row r="179" spans="1:6" ht="33.75" customHeight="1" x14ac:dyDescent="0.25">
      <c r="A179" s="117"/>
      <c r="B179" s="118" t="s">
        <v>150</v>
      </c>
      <c r="C179" s="134">
        <f>SUM(C168:C178)</f>
        <v>25370</v>
      </c>
      <c r="D179" s="134">
        <f>SUM(D168:D178)</f>
        <v>25686</v>
      </c>
      <c r="E179" s="134">
        <f t="shared" si="24"/>
        <v>316</v>
      </c>
      <c r="F179" s="120">
        <f t="shared" si="25"/>
        <v>1.2455656286953094E-2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B38" sqref="B3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35825105</v>
      </c>
      <c r="D15" s="157">
        <v>38080409</v>
      </c>
      <c r="E15" s="157">
        <f>+D15-C15</f>
        <v>2255304</v>
      </c>
      <c r="F15" s="161">
        <f>IF(C15=0,0,E15/C15)</f>
        <v>6.2953172084213013E-2</v>
      </c>
    </row>
    <row r="16" spans="1:6" ht="15" customHeight="1" x14ac:dyDescent="0.2">
      <c r="A16" s="147">
        <v>2</v>
      </c>
      <c r="B16" s="160" t="s">
        <v>157</v>
      </c>
      <c r="C16" s="157">
        <v>3099619</v>
      </c>
      <c r="D16" s="157">
        <v>3767525</v>
      </c>
      <c r="E16" s="157">
        <f>+D16-C16</f>
        <v>667906</v>
      </c>
      <c r="F16" s="161">
        <f>IF(C16=0,0,E16/C16)</f>
        <v>0.2154800315780746</v>
      </c>
    </row>
    <row r="17" spans="1:6" ht="15" customHeight="1" x14ac:dyDescent="0.2">
      <c r="A17" s="147">
        <v>3</v>
      </c>
      <c r="B17" s="160" t="s">
        <v>158</v>
      </c>
      <c r="C17" s="157">
        <v>68386128</v>
      </c>
      <c r="D17" s="157">
        <v>75125483</v>
      </c>
      <c r="E17" s="157">
        <f>+D17-C17</f>
        <v>6739355</v>
      </c>
      <c r="F17" s="161">
        <f>IF(C17=0,0,E17/C17)</f>
        <v>9.8548568212547427E-2</v>
      </c>
    </row>
    <row r="18" spans="1:6" ht="15.75" customHeight="1" x14ac:dyDescent="0.25">
      <c r="A18" s="147"/>
      <c r="B18" s="162" t="s">
        <v>159</v>
      </c>
      <c r="C18" s="158">
        <f>SUM(C15:C17)</f>
        <v>107310852</v>
      </c>
      <c r="D18" s="158">
        <f>SUM(D15:D17)</f>
        <v>116973417</v>
      </c>
      <c r="E18" s="158">
        <f>+D18-C18</f>
        <v>9662565</v>
      </c>
      <c r="F18" s="159">
        <f>IF(C18=0,0,E18/C18)</f>
        <v>9.0042757278639446E-2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19135000</v>
      </c>
      <c r="D21" s="157">
        <v>21164041</v>
      </c>
      <c r="E21" s="157">
        <f>+D21-C21</f>
        <v>2029041</v>
      </c>
      <c r="F21" s="161">
        <f>IF(C21=0,0,E21/C21)</f>
        <v>0.10603820224719102</v>
      </c>
    </row>
    <row r="22" spans="1:6" ht="15" customHeight="1" x14ac:dyDescent="0.2">
      <c r="A22" s="147">
        <v>2</v>
      </c>
      <c r="B22" s="160" t="s">
        <v>162</v>
      </c>
      <c r="C22" s="157">
        <v>756287</v>
      </c>
      <c r="D22" s="157">
        <v>931016</v>
      </c>
      <c r="E22" s="157">
        <f>+D22-C22</f>
        <v>174729</v>
      </c>
      <c r="F22" s="161">
        <f>IF(C22=0,0,E22/C22)</f>
        <v>0.23103530802459912</v>
      </c>
    </row>
    <row r="23" spans="1:6" ht="15" customHeight="1" x14ac:dyDescent="0.2">
      <c r="A23" s="147">
        <v>3</v>
      </c>
      <c r="B23" s="160" t="s">
        <v>163</v>
      </c>
      <c r="C23" s="157">
        <v>37538515</v>
      </c>
      <c r="D23" s="157">
        <v>45097395</v>
      </c>
      <c r="E23" s="157">
        <f>+D23-C23</f>
        <v>7558880</v>
      </c>
      <c r="F23" s="161">
        <f>IF(C23=0,0,E23/C23)</f>
        <v>0.20136331977969826</v>
      </c>
    </row>
    <row r="24" spans="1:6" ht="15.75" customHeight="1" x14ac:dyDescent="0.25">
      <c r="A24" s="147"/>
      <c r="B24" s="162" t="s">
        <v>164</v>
      </c>
      <c r="C24" s="158">
        <f>SUM(C21:C23)</f>
        <v>57429802</v>
      </c>
      <c r="D24" s="158">
        <f>SUM(D21:D23)</f>
        <v>67192452</v>
      </c>
      <c r="E24" s="158">
        <f>+D24-C24</f>
        <v>9762650</v>
      </c>
      <c r="F24" s="159">
        <f>IF(C24=0,0,E24/C24)</f>
        <v>0.16999275045384973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5288836</v>
      </c>
      <c r="D27" s="157">
        <v>1429529</v>
      </c>
      <c r="E27" s="157">
        <f>+D27-C27</f>
        <v>-3859307</v>
      </c>
      <c r="F27" s="161">
        <f>IF(C27=0,0,E27/C27)</f>
        <v>-0.72970820044334894</v>
      </c>
    </row>
    <row r="28" spans="1:6" ht="15" customHeight="1" x14ac:dyDescent="0.2">
      <c r="A28" s="147">
        <v>2</v>
      </c>
      <c r="B28" s="160" t="s">
        <v>167</v>
      </c>
      <c r="C28" s="157">
        <v>23033317</v>
      </c>
      <c r="D28" s="157">
        <v>25300774</v>
      </c>
      <c r="E28" s="157">
        <f>+D28-C28</f>
        <v>2267457</v>
      </c>
      <c r="F28" s="161">
        <f>IF(C28=0,0,E28/C28)</f>
        <v>9.8442486594527395E-2</v>
      </c>
    </row>
    <row r="29" spans="1:6" ht="15" customHeight="1" x14ac:dyDescent="0.2">
      <c r="A29" s="147">
        <v>3</v>
      </c>
      <c r="B29" s="160" t="s">
        <v>168</v>
      </c>
      <c r="C29" s="157">
        <v>33147976</v>
      </c>
      <c r="D29" s="157">
        <v>40873015</v>
      </c>
      <c r="E29" s="157">
        <f>+D29-C29</f>
        <v>7725039</v>
      </c>
      <c r="F29" s="161">
        <f>IF(C29=0,0,E29/C29)</f>
        <v>0.23304707955622991</v>
      </c>
    </row>
    <row r="30" spans="1:6" ht="15.75" customHeight="1" x14ac:dyDescent="0.25">
      <c r="A30" s="147"/>
      <c r="B30" s="162" t="s">
        <v>169</v>
      </c>
      <c r="C30" s="158">
        <f>SUM(C27:C29)</f>
        <v>61470129</v>
      </c>
      <c r="D30" s="158">
        <f>SUM(D27:D29)</f>
        <v>67603318</v>
      </c>
      <c r="E30" s="158">
        <f>+D30-C30</f>
        <v>6133189</v>
      </c>
      <c r="F30" s="159">
        <f>IF(C30=0,0,E30/C30)</f>
        <v>9.9775111908419784E-2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37582816</v>
      </c>
      <c r="D33" s="157">
        <v>35572399</v>
      </c>
      <c r="E33" s="157">
        <f>+D33-C33</f>
        <v>-2010417</v>
      </c>
      <c r="F33" s="161">
        <f>IF(C33=0,0,E33/C33)</f>
        <v>-5.3492984666183609E-2</v>
      </c>
    </row>
    <row r="34" spans="1:6" ht="15" customHeight="1" x14ac:dyDescent="0.2">
      <c r="A34" s="147">
        <v>2</v>
      </c>
      <c r="B34" s="160" t="s">
        <v>173</v>
      </c>
      <c r="C34" s="157">
        <v>21195328</v>
      </c>
      <c r="D34" s="157">
        <v>26048783</v>
      </c>
      <c r="E34" s="157">
        <f>+D34-C34</f>
        <v>4853455</v>
      </c>
      <c r="F34" s="161">
        <f>IF(C34=0,0,E34/C34)</f>
        <v>0.22898702015840472</v>
      </c>
    </row>
    <row r="35" spans="1:6" ht="15.75" customHeight="1" x14ac:dyDescent="0.25">
      <c r="A35" s="147"/>
      <c r="B35" s="162" t="s">
        <v>174</v>
      </c>
      <c r="C35" s="158">
        <f>SUM(C33:C34)</f>
        <v>58778144</v>
      </c>
      <c r="D35" s="158">
        <f>SUM(D33:D34)</f>
        <v>61621182</v>
      </c>
      <c r="E35" s="158">
        <f>+D35-C35</f>
        <v>2843038</v>
      </c>
      <c r="F35" s="159">
        <f>IF(C35=0,0,E35/C35)</f>
        <v>4.8368965171816249E-2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2223625</v>
      </c>
      <c r="D38" s="157">
        <v>3324085</v>
      </c>
      <c r="E38" s="157">
        <f>+D38-C38</f>
        <v>1100460</v>
      </c>
      <c r="F38" s="161">
        <f>IF(C38=0,0,E38/C38)</f>
        <v>0.4948945977851481</v>
      </c>
    </row>
    <row r="39" spans="1:6" ht="15" customHeight="1" x14ac:dyDescent="0.2">
      <c r="A39" s="147">
        <v>2</v>
      </c>
      <c r="B39" s="160" t="s">
        <v>178</v>
      </c>
      <c r="C39" s="157">
        <v>5655419</v>
      </c>
      <c r="D39" s="157">
        <v>5586887</v>
      </c>
      <c r="E39" s="157">
        <f>+D39-C39</f>
        <v>-68532</v>
      </c>
      <c r="F39" s="161">
        <f>IF(C39=0,0,E39/C39)</f>
        <v>-1.2117935028333002E-2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7879044</v>
      </c>
      <c r="D41" s="158">
        <f>SUM(D38:D40)</f>
        <v>8910972</v>
      </c>
      <c r="E41" s="158">
        <f>+D41-C41</f>
        <v>1031928</v>
      </c>
      <c r="F41" s="159">
        <f>IF(C41=0,0,E41/C41)</f>
        <v>0.13097121935097711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0</v>
      </c>
      <c r="D47" s="157">
        <v>0</v>
      </c>
      <c r="E47" s="157">
        <f>+D47-C47</f>
        <v>0</v>
      </c>
      <c r="F47" s="161">
        <f>IF(C47=0,0,E47/C47)</f>
        <v>0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3128114</v>
      </c>
      <c r="D50" s="157">
        <v>3128112</v>
      </c>
      <c r="E50" s="157">
        <f>+D50-C50</f>
        <v>-2</v>
      </c>
      <c r="F50" s="161">
        <f>IF(C50=0,0,E50/C50)</f>
        <v>-6.3936288766969487E-7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46862</v>
      </c>
      <c r="D53" s="157">
        <v>52692</v>
      </c>
      <c r="E53" s="157">
        <f t="shared" ref="E53:E59" si="0">+D53-C53</f>
        <v>5830</v>
      </c>
      <c r="F53" s="161">
        <f t="shared" ref="F53:F59" si="1">IF(C53=0,0,E53/C53)</f>
        <v>0.12440783577312108</v>
      </c>
    </row>
    <row r="54" spans="1:6" ht="15" customHeight="1" x14ac:dyDescent="0.2">
      <c r="A54" s="147">
        <v>2</v>
      </c>
      <c r="B54" s="160" t="s">
        <v>189</v>
      </c>
      <c r="C54" s="157">
        <v>338217</v>
      </c>
      <c r="D54" s="157">
        <v>361285</v>
      </c>
      <c r="E54" s="157">
        <f t="shared" si="0"/>
        <v>23068</v>
      </c>
      <c r="F54" s="161">
        <f t="shared" si="1"/>
        <v>6.8204732464660259E-2</v>
      </c>
    </row>
    <row r="55" spans="1:6" ht="15" customHeight="1" x14ac:dyDescent="0.2">
      <c r="A55" s="147">
        <v>3</v>
      </c>
      <c r="B55" s="160" t="s">
        <v>190</v>
      </c>
      <c r="C55" s="157">
        <v>113107</v>
      </c>
      <c r="D55" s="157">
        <v>11718</v>
      </c>
      <c r="E55" s="157">
        <f t="shared" si="0"/>
        <v>-101389</v>
      </c>
      <c r="F55" s="161">
        <f t="shared" si="1"/>
        <v>-0.89639898503187243</v>
      </c>
    </row>
    <row r="56" spans="1:6" ht="15" customHeight="1" x14ac:dyDescent="0.2">
      <c r="A56" s="147">
        <v>4</v>
      </c>
      <c r="B56" s="160" t="s">
        <v>191</v>
      </c>
      <c r="C56" s="157">
        <v>1623345</v>
      </c>
      <c r="D56" s="157">
        <v>1842019</v>
      </c>
      <c r="E56" s="157">
        <f t="shared" si="0"/>
        <v>218674</v>
      </c>
      <c r="F56" s="161">
        <f t="shared" si="1"/>
        <v>0.13470580806914118</v>
      </c>
    </row>
    <row r="57" spans="1:6" ht="15" customHeight="1" x14ac:dyDescent="0.2">
      <c r="A57" s="147">
        <v>5</v>
      </c>
      <c r="B57" s="160" t="s">
        <v>192</v>
      </c>
      <c r="C57" s="157">
        <v>1054651</v>
      </c>
      <c r="D57" s="157">
        <v>1063802</v>
      </c>
      <c r="E57" s="157">
        <f t="shared" si="0"/>
        <v>9151</v>
      </c>
      <c r="F57" s="161">
        <f t="shared" si="1"/>
        <v>8.6768039853942196E-3</v>
      </c>
    </row>
    <row r="58" spans="1:6" ht="15" customHeight="1" x14ac:dyDescent="0.2">
      <c r="A58" s="147">
        <v>6</v>
      </c>
      <c r="B58" s="160" t="s">
        <v>193</v>
      </c>
      <c r="C58" s="157">
        <v>58011</v>
      </c>
      <c r="D58" s="157">
        <v>50958</v>
      </c>
      <c r="E58" s="157">
        <f t="shared" si="0"/>
        <v>-7053</v>
      </c>
      <c r="F58" s="161">
        <f t="shared" si="1"/>
        <v>-0.12158038992604851</v>
      </c>
    </row>
    <row r="59" spans="1:6" ht="15.75" customHeight="1" x14ac:dyDescent="0.25">
      <c r="A59" s="147"/>
      <c r="B59" s="162" t="s">
        <v>194</v>
      </c>
      <c r="C59" s="158">
        <f>SUM(C53:C58)</f>
        <v>3234193</v>
      </c>
      <c r="D59" s="158">
        <f>SUM(D53:D58)</f>
        <v>3382474</v>
      </c>
      <c r="E59" s="158">
        <f t="shared" si="0"/>
        <v>148281</v>
      </c>
      <c r="F59" s="159">
        <f t="shared" si="1"/>
        <v>4.5847913219773835E-2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76480</v>
      </c>
      <c r="D62" s="157">
        <v>103348</v>
      </c>
      <c r="E62" s="157">
        <f t="shared" ref="E62:E90" si="2">+D62-C62</f>
        <v>26868</v>
      </c>
      <c r="F62" s="161">
        <f t="shared" ref="F62:F90" si="3">IF(C62=0,0,E62/C62)</f>
        <v>0.35130753138075316</v>
      </c>
    </row>
    <row r="63" spans="1:6" ht="15" customHeight="1" x14ac:dyDescent="0.2">
      <c r="A63" s="147">
        <v>2</v>
      </c>
      <c r="B63" s="160" t="s">
        <v>198</v>
      </c>
      <c r="C63" s="157">
        <v>350268</v>
      </c>
      <c r="D63" s="157">
        <v>573056</v>
      </c>
      <c r="E63" s="157">
        <f t="shared" si="2"/>
        <v>222788</v>
      </c>
      <c r="F63" s="161">
        <f t="shared" si="3"/>
        <v>0.63605011020133151</v>
      </c>
    </row>
    <row r="64" spans="1:6" ht="15" customHeight="1" x14ac:dyDescent="0.2">
      <c r="A64" s="147">
        <v>3</v>
      </c>
      <c r="B64" s="160" t="s">
        <v>199</v>
      </c>
      <c r="C64" s="157">
        <v>0</v>
      </c>
      <c r="D64" s="157">
        <v>0</v>
      </c>
      <c r="E64" s="157">
        <f t="shared" si="2"/>
        <v>0</v>
      </c>
      <c r="F64" s="161">
        <f t="shared" si="3"/>
        <v>0</v>
      </c>
    </row>
    <row r="65" spans="1:6" ht="15" customHeight="1" x14ac:dyDescent="0.2">
      <c r="A65" s="147">
        <v>4</v>
      </c>
      <c r="B65" s="160" t="s">
        <v>200</v>
      </c>
      <c r="C65" s="157">
        <v>462667</v>
      </c>
      <c r="D65" s="157">
        <v>433111</v>
      </c>
      <c r="E65" s="157">
        <f t="shared" si="2"/>
        <v>-29556</v>
      </c>
      <c r="F65" s="161">
        <f t="shared" si="3"/>
        <v>-6.3881798356053052E-2</v>
      </c>
    </row>
    <row r="66" spans="1:6" ht="15" customHeight="1" x14ac:dyDescent="0.2">
      <c r="A66" s="147">
        <v>5</v>
      </c>
      <c r="B66" s="160" t="s">
        <v>201</v>
      </c>
      <c r="C66" s="157">
        <v>2668173</v>
      </c>
      <c r="D66" s="157">
        <v>2974217</v>
      </c>
      <c r="E66" s="157">
        <f t="shared" si="2"/>
        <v>306044</v>
      </c>
      <c r="F66" s="161">
        <f t="shared" si="3"/>
        <v>0.11470170787276537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7729172</v>
      </c>
      <c r="D68" s="157">
        <v>5714448</v>
      </c>
      <c r="E68" s="157">
        <f t="shared" si="2"/>
        <v>-2014724</v>
      </c>
      <c r="F68" s="161">
        <f t="shared" si="3"/>
        <v>-0.26066491986463752</v>
      </c>
    </row>
    <row r="69" spans="1:6" ht="15" customHeight="1" x14ac:dyDescent="0.2">
      <c r="A69" s="147">
        <v>8</v>
      </c>
      <c r="B69" s="160" t="s">
        <v>204</v>
      </c>
      <c r="C69" s="157">
        <v>262652</v>
      </c>
      <c r="D69" s="157">
        <v>271645</v>
      </c>
      <c r="E69" s="157">
        <f t="shared" si="2"/>
        <v>8993</v>
      </c>
      <c r="F69" s="161">
        <f t="shared" si="3"/>
        <v>3.4239221479371945E-2</v>
      </c>
    </row>
    <row r="70" spans="1:6" ht="15" customHeight="1" x14ac:dyDescent="0.2">
      <c r="A70" s="147">
        <v>9</v>
      </c>
      <c r="B70" s="160" t="s">
        <v>205</v>
      </c>
      <c r="C70" s="157">
        <v>125110</v>
      </c>
      <c r="D70" s="157">
        <v>210510</v>
      </c>
      <c r="E70" s="157">
        <f t="shared" si="2"/>
        <v>85400</v>
      </c>
      <c r="F70" s="161">
        <f t="shared" si="3"/>
        <v>0.68259931260490769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0</v>
      </c>
      <c r="D73" s="157">
        <v>0</v>
      </c>
      <c r="E73" s="157">
        <f t="shared" si="2"/>
        <v>0</v>
      </c>
      <c r="F73" s="161">
        <f t="shared" si="3"/>
        <v>0</v>
      </c>
    </row>
    <row r="74" spans="1:6" ht="15" customHeight="1" x14ac:dyDescent="0.2">
      <c r="A74" s="147">
        <v>13</v>
      </c>
      <c r="B74" s="160" t="s">
        <v>209</v>
      </c>
      <c r="C74" s="157">
        <v>322651</v>
      </c>
      <c r="D74" s="157">
        <v>258207</v>
      </c>
      <c r="E74" s="157">
        <f t="shared" si="2"/>
        <v>-64444</v>
      </c>
      <c r="F74" s="161">
        <f t="shared" si="3"/>
        <v>-0.19973283826797375</v>
      </c>
    </row>
    <row r="75" spans="1:6" ht="15" customHeight="1" x14ac:dyDescent="0.2">
      <c r="A75" s="147">
        <v>14</v>
      </c>
      <c r="B75" s="160" t="s">
        <v>210</v>
      </c>
      <c r="C75" s="157">
        <v>226430</v>
      </c>
      <c r="D75" s="157">
        <v>257999</v>
      </c>
      <c r="E75" s="157">
        <f t="shared" si="2"/>
        <v>31569</v>
      </c>
      <c r="F75" s="161">
        <f t="shared" si="3"/>
        <v>0.1394205714790443</v>
      </c>
    </row>
    <row r="76" spans="1:6" ht="15" customHeight="1" x14ac:dyDescent="0.2">
      <c r="A76" s="147">
        <v>15</v>
      </c>
      <c r="B76" s="160" t="s">
        <v>211</v>
      </c>
      <c r="C76" s="157">
        <v>890824</v>
      </c>
      <c r="D76" s="157">
        <v>28215</v>
      </c>
      <c r="E76" s="157">
        <f t="shared" si="2"/>
        <v>-862609</v>
      </c>
      <c r="F76" s="161">
        <f t="shared" si="3"/>
        <v>-0.96832707695347231</v>
      </c>
    </row>
    <row r="77" spans="1:6" ht="15" customHeight="1" x14ac:dyDescent="0.2">
      <c r="A77" s="147">
        <v>16</v>
      </c>
      <c r="B77" s="160" t="s">
        <v>212</v>
      </c>
      <c r="C77" s="157">
        <v>242267</v>
      </c>
      <c r="D77" s="157">
        <v>254293</v>
      </c>
      <c r="E77" s="157">
        <f t="shared" si="2"/>
        <v>12026</v>
      </c>
      <c r="F77" s="161">
        <f t="shared" si="3"/>
        <v>4.9639447386561106E-2</v>
      </c>
    </row>
    <row r="78" spans="1:6" ht="15" customHeight="1" x14ac:dyDescent="0.2">
      <c r="A78" s="147">
        <v>17</v>
      </c>
      <c r="B78" s="160" t="s">
        <v>213</v>
      </c>
      <c r="C78" s="157">
        <v>3450470</v>
      </c>
      <c r="D78" s="157">
        <v>3815391</v>
      </c>
      <c r="E78" s="157">
        <f t="shared" si="2"/>
        <v>364921</v>
      </c>
      <c r="F78" s="161">
        <f t="shared" si="3"/>
        <v>0.10575979504241451</v>
      </c>
    </row>
    <row r="79" spans="1:6" ht="15" customHeight="1" x14ac:dyDescent="0.2">
      <c r="A79" s="147">
        <v>18</v>
      </c>
      <c r="B79" s="160" t="s">
        <v>214</v>
      </c>
      <c r="C79" s="157">
        <v>80219</v>
      </c>
      <c r="D79" s="157">
        <v>51355</v>
      </c>
      <c r="E79" s="157">
        <f t="shared" si="2"/>
        <v>-28864</v>
      </c>
      <c r="F79" s="161">
        <f t="shared" si="3"/>
        <v>-0.35981500641992548</v>
      </c>
    </row>
    <row r="80" spans="1:6" ht="15" customHeight="1" x14ac:dyDescent="0.2">
      <c r="A80" s="147">
        <v>19</v>
      </c>
      <c r="B80" s="160" t="s">
        <v>215</v>
      </c>
      <c r="C80" s="157">
        <v>4700724</v>
      </c>
      <c r="D80" s="157">
        <v>5028098</v>
      </c>
      <c r="E80" s="157">
        <f t="shared" si="2"/>
        <v>327374</v>
      </c>
      <c r="F80" s="161">
        <f t="shared" si="3"/>
        <v>6.9643314519210228E-2</v>
      </c>
    </row>
    <row r="81" spans="1:6" ht="15" customHeight="1" x14ac:dyDescent="0.2">
      <c r="A81" s="147">
        <v>20</v>
      </c>
      <c r="B81" s="160" t="s">
        <v>216</v>
      </c>
      <c r="C81" s="157">
        <v>1291648</v>
      </c>
      <c r="D81" s="157">
        <v>1743121</v>
      </c>
      <c r="E81" s="157">
        <f t="shared" si="2"/>
        <v>451473</v>
      </c>
      <c r="F81" s="161">
        <f t="shared" si="3"/>
        <v>0.34953253517986327</v>
      </c>
    </row>
    <row r="82" spans="1:6" ht="15" customHeight="1" x14ac:dyDescent="0.2">
      <c r="A82" s="147">
        <v>21</v>
      </c>
      <c r="B82" s="160" t="s">
        <v>217</v>
      </c>
      <c r="C82" s="157">
        <v>449780</v>
      </c>
      <c r="D82" s="157">
        <v>461538</v>
      </c>
      <c r="E82" s="157">
        <f t="shared" si="2"/>
        <v>11758</v>
      </c>
      <c r="F82" s="161">
        <f t="shared" si="3"/>
        <v>2.614166926052737E-2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9744</v>
      </c>
      <c r="E83" s="157">
        <f t="shared" si="2"/>
        <v>9744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758112</v>
      </c>
      <c r="D84" s="157">
        <v>768795</v>
      </c>
      <c r="E84" s="157">
        <f t="shared" si="2"/>
        <v>10683</v>
      </c>
      <c r="F84" s="161">
        <f t="shared" si="3"/>
        <v>1.4091585412181841E-2</v>
      </c>
    </row>
    <row r="85" spans="1:6" ht="15" customHeight="1" x14ac:dyDescent="0.2">
      <c r="A85" s="147">
        <v>24</v>
      </c>
      <c r="B85" s="160" t="s">
        <v>220</v>
      </c>
      <c r="C85" s="157">
        <v>1010397</v>
      </c>
      <c r="D85" s="157">
        <v>1037211</v>
      </c>
      <c r="E85" s="157">
        <f t="shared" si="2"/>
        <v>26814</v>
      </c>
      <c r="F85" s="161">
        <f t="shared" si="3"/>
        <v>2.6538083545378698E-2</v>
      </c>
    </row>
    <row r="86" spans="1:6" ht="15" customHeight="1" x14ac:dyDescent="0.2">
      <c r="A86" s="147">
        <v>25</v>
      </c>
      <c r="B86" s="160" t="s">
        <v>221</v>
      </c>
      <c r="C86" s="157">
        <v>1991</v>
      </c>
      <c r="D86" s="157">
        <v>185729</v>
      </c>
      <c r="E86" s="157">
        <f t="shared" si="2"/>
        <v>183738</v>
      </c>
      <c r="F86" s="161">
        <f t="shared" si="3"/>
        <v>92.284279256654941</v>
      </c>
    </row>
    <row r="87" spans="1:6" ht="15" customHeight="1" x14ac:dyDescent="0.2">
      <c r="A87" s="147">
        <v>26</v>
      </c>
      <c r="B87" s="160" t="s">
        <v>222</v>
      </c>
      <c r="C87" s="157">
        <v>3447736</v>
      </c>
      <c r="D87" s="157">
        <v>3477978</v>
      </c>
      <c r="E87" s="157">
        <f t="shared" si="2"/>
        <v>30242</v>
      </c>
      <c r="F87" s="161">
        <f t="shared" si="3"/>
        <v>8.7715532743806376E-3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10908470</v>
      </c>
      <c r="D89" s="157">
        <v>14919846</v>
      </c>
      <c r="E89" s="157">
        <f t="shared" si="2"/>
        <v>4011376</v>
      </c>
      <c r="F89" s="161">
        <f t="shared" si="3"/>
        <v>0.36773039665507629</v>
      </c>
    </row>
    <row r="90" spans="1:6" ht="15.75" customHeight="1" x14ac:dyDescent="0.25">
      <c r="A90" s="147"/>
      <c r="B90" s="162" t="s">
        <v>225</v>
      </c>
      <c r="C90" s="158">
        <f>SUM(C62:C89)</f>
        <v>39456241</v>
      </c>
      <c r="D90" s="158">
        <f>SUM(D62:D89)</f>
        <v>42577855</v>
      </c>
      <c r="E90" s="158">
        <f t="shared" si="2"/>
        <v>3121614</v>
      </c>
      <c r="F90" s="159">
        <f t="shared" si="3"/>
        <v>7.9115848871665201E-2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2092739</v>
      </c>
      <c r="D93" s="157">
        <v>2439141</v>
      </c>
      <c r="E93" s="157">
        <f>+D93-C93</f>
        <v>346402</v>
      </c>
      <c r="F93" s="161">
        <f>IF(C93=0,0,E93/C93)</f>
        <v>0.16552565800130833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340779258</v>
      </c>
      <c r="D95" s="158">
        <f>+D93+D90+D59+D50+D47+D44+D41+D35+D30+D24+D18</f>
        <v>373828923</v>
      </c>
      <c r="E95" s="158">
        <f>+D95-C95</f>
        <v>33049665</v>
      </c>
      <c r="F95" s="159">
        <f>IF(C95=0,0,E95/C95)</f>
        <v>9.6982619171029474E-2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12376984</v>
      </c>
      <c r="D103" s="157">
        <v>11598575</v>
      </c>
      <c r="E103" s="157">
        <f t="shared" ref="E103:E121" si="4">D103-C103</f>
        <v>-778409</v>
      </c>
      <c r="F103" s="161">
        <f t="shared" ref="F103:F121" si="5">IF(C103=0,0,E103/C103)</f>
        <v>-6.289165438042095E-2</v>
      </c>
    </row>
    <row r="104" spans="1:6" ht="15" customHeight="1" x14ac:dyDescent="0.2">
      <c r="A104" s="147">
        <v>2</v>
      </c>
      <c r="B104" s="169" t="s">
        <v>234</v>
      </c>
      <c r="C104" s="157">
        <v>194858</v>
      </c>
      <c r="D104" s="157">
        <v>490651</v>
      </c>
      <c r="E104" s="157">
        <f t="shared" si="4"/>
        <v>295793</v>
      </c>
      <c r="F104" s="161">
        <f t="shared" si="5"/>
        <v>1.5179925894754129</v>
      </c>
    </row>
    <row r="105" spans="1:6" ht="15" customHeight="1" x14ac:dyDescent="0.2">
      <c r="A105" s="147">
        <v>3</v>
      </c>
      <c r="B105" s="169" t="s">
        <v>235</v>
      </c>
      <c r="C105" s="157">
        <v>6126699</v>
      </c>
      <c r="D105" s="157">
        <v>5818106</v>
      </c>
      <c r="E105" s="157">
        <f t="shared" si="4"/>
        <v>-308593</v>
      </c>
      <c r="F105" s="161">
        <f t="shared" si="5"/>
        <v>-5.0368558990738735E-2</v>
      </c>
    </row>
    <row r="106" spans="1:6" ht="15" customHeight="1" x14ac:dyDescent="0.2">
      <c r="A106" s="147">
        <v>4</v>
      </c>
      <c r="B106" s="169" t="s">
        <v>236</v>
      </c>
      <c r="C106" s="157">
        <v>1992558</v>
      </c>
      <c r="D106" s="157">
        <v>2171671</v>
      </c>
      <c r="E106" s="157">
        <f t="shared" si="4"/>
        <v>179113</v>
      </c>
      <c r="F106" s="161">
        <f t="shared" si="5"/>
        <v>8.9890984352776676E-2</v>
      </c>
    </row>
    <row r="107" spans="1:6" ht="15" customHeight="1" x14ac:dyDescent="0.2">
      <c r="A107" s="147">
        <v>5</v>
      </c>
      <c r="B107" s="169" t="s">
        <v>237</v>
      </c>
      <c r="C107" s="157">
        <v>3692885</v>
      </c>
      <c r="D107" s="157">
        <v>3615362</v>
      </c>
      <c r="E107" s="157">
        <f t="shared" si="4"/>
        <v>-77523</v>
      </c>
      <c r="F107" s="161">
        <f t="shared" si="5"/>
        <v>-2.0992530230429598E-2</v>
      </c>
    </row>
    <row r="108" spans="1:6" ht="15" customHeight="1" x14ac:dyDescent="0.2">
      <c r="A108" s="147">
        <v>6</v>
      </c>
      <c r="B108" s="169" t="s">
        <v>238</v>
      </c>
      <c r="C108" s="157">
        <v>419035</v>
      </c>
      <c r="D108" s="157">
        <v>364256</v>
      </c>
      <c r="E108" s="157">
        <f t="shared" si="4"/>
        <v>-54779</v>
      </c>
      <c r="F108" s="161">
        <f t="shared" si="5"/>
        <v>-0.13072655028816207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667710</v>
      </c>
      <c r="D110" s="157">
        <v>592816</v>
      </c>
      <c r="E110" s="157">
        <f t="shared" si="4"/>
        <v>-74894</v>
      </c>
      <c r="F110" s="161">
        <f t="shared" si="5"/>
        <v>-0.11216546105345135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5000367</v>
      </c>
      <c r="D112" s="157">
        <v>5587928</v>
      </c>
      <c r="E112" s="157">
        <f t="shared" si="4"/>
        <v>587561</v>
      </c>
      <c r="F112" s="161">
        <f t="shared" si="5"/>
        <v>0.11750357523757757</v>
      </c>
    </row>
    <row r="113" spans="1:6" ht="15" customHeight="1" x14ac:dyDescent="0.2">
      <c r="A113" s="147">
        <v>11</v>
      </c>
      <c r="B113" s="169" t="s">
        <v>243</v>
      </c>
      <c r="C113" s="157">
        <v>4813875</v>
      </c>
      <c r="D113" s="157">
        <v>5067026</v>
      </c>
      <c r="E113" s="157">
        <f t="shared" si="4"/>
        <v>253151</v>
      </c>
      <c r="F113" s="161">
        <f t="shared" si="5"/>
        <v>5.2587780114772401E-2</v>
      </c>
    </row>
    <row r="114" spans="1:6" ht="15" customHeight="1" x14ac:dyDescent="0.2">
      <c r="A114" s="147">
        <v>12</v>
      </c>
      <c r="B114" s="169" t="s">
        <v>244</v>
      </c>
      <c r="C114" s="157">
        <v>885147</v>
      </c>
      <c r="D114" s="157">
        <v>935007</v>
      </c>
      <c r="E114" s="157">
        <f t="shared" si="4"/>
        <v>49860</v>
      </c>
      <c r="F114" s="161">
        <f t="shared" si="5"/>
        <v>5.6329626604394521E-2</v>
      </c>
    </row>
    <row r="115" spans="1:6" ht="15" customHeight="1" x14ac:dyDescent="0.2">
      <c r="A115" s="147">
        <v>13</v>
      </c>
      <c r="B115" s="169" t="s">
        <v>245</v>
      </c>
      <c r="C115" s="157">
        <v>4088074</v>
      </c>
      <c r="D115" s="157">
        <v>4386049</v>
      </c>
      <c r="E115" s="157">
        <f t="shared" si="4"/>
        <v>297975</v>
      </c>
      <c r="F115" s="161">
        <f t="shared" si="5"/>
        <v>7.2888846924003825E-2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4425932</v>
      </c>
      <c r="D117" s="157">
        <v>3966645</v>
      </c>
      <c r="E117" s="157">
        <f t="shared" si="4"/>
        <v>-459287</v>
      </c>
      <c r="F117" s="161">
        <f t="shared" si="5"/>
        <v>-0.10377181574411898</v>
      </c>
    </row>
    <row r="118" spans="1:6" ht="15" customHeight="1" x14ac:dyDescent="0.2">
      <c r="A118" s="147">
        <v>16</v>
      </c>
      <c r="B118" s="169" t="s">
        <v>247</v>
      </c>
      <c r="C118" s="157">
        <v>2830950</v>
      </c>
      <c r="D118" s="157">
        <v>2291983</v>
      </c>
      <c r="E118" s="157">
        <f t="shared" si="4"/>
        <v>-538967</v>
      </c>
      <c r="F118" s="161">
        <f t="shared" si="5"/>
        <v>-0.19038379342623502</v>
      </c>
    </row>
    <row r="119" spans="1:6" ht="15" customHeight="1" x14ac:dyDescent="0.2">
      <c r="A119" s="147">
        <v>17</v>
      </c>
      <c r="B119" s="169" t="s">
        <v>248</v>
      </c>
      <c r="C119" s="157">
        <v>26976495</v>
      </c>
      <c r="D119" s="157">
        <v>32971626</v>
      </c>
      <c r="E119" s="157">
        <f t="shared" si="4"/>
        <v>5995131</v>
      </c>
      <c r="F119" s="161">
        <f t="shared" si="5"/>
        <v>0.22223535711366507</v>
      </c>
    </row>
    <row r="120" spans="1:6" ht="15" customHeight="1" x14ac:dyDescent="0.2">
      <c r="A120" s="147">
        <v>18</v>
      </c>
      <c r="B120" s="169" t="s">
        <v>249</v>
      </c>
      <c r="C120" s="157">
        <v>21842093</v>
      </c>
      <c r="D120" s="157">
        <v>21862322</v>
      </c>
      <c r="E120" s="157">
        <f t="shared" si="4"/>
        <v>20229</v>
      </c>
      <c r="F120" s="161">
        <f t="shared" si="5"/>
        <v>9.2614750793342015E-4</v>
      </c>
    </row>
    <row r="121" spans="1:6" ht="15.75" customHeight="1" x14ac:dyDescent="0.25">
      <c r="A121" s="147"/>
      <c r="B121" s="165" t="s">
        <v>250</v>
      </c>
      <c r="C121" s="158">
        <f>SUM(C103:C120)</f>
        <v>96333662</v>
      </c>
      <c r="D121" s="158">
        <f>SUM(D103:D120)</f>
        <v>101720023</v>
      </c>
      <c r="E121" s="158">
        <f t="shared" si="4"/>
        <v>5386361</v>
      </c>
      <c r="F121" s="159">
        <f t="shared" si="5"/>
        <v>5.5913591242903231E-2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24243483</v>
      </c>
      <c r="D125" s="157">
        <v>26732486</v>
      </c>
      <c r="E125" s="157">
        <f t="shared" si="6"/>
        <v>2489003</v>
      </c>
      <c r="F125" s="161">
        <f t="shared" si="7"/>
        <v>0.10266688990191715</v>
      </c>
    </row>
    <row r="126" spans="1:6" ht="15" customHeight="1" x14ac:dyDescent="0.2">
      <c r="A126" s="147">
        <v>3</v>
      </c>
      <c r="B126" s="169" t="s">
        <v>254</v>
      </c>
      <c r="C126" s="157">
        <v>6710269</v>
      </c>
      <c r="D126" s="157">
        <v>7712374</v>
      </c>
      <c r="E126" s="157">
        <f t="shared" si="6"/>
        <v>1002105</v>
      </c>
      <c r="F126" s="161">
        <f t="shared" si="7"/>
        <v>0.14933902053703063</v>
      </c>
    </row>
    <row r="127" spans="1:6" ht="15" customHeight="1" x14ac:dyDescent="0.2">
      <c r="A127" s="147">
        <v>4</v>
      </c>
      <c r="B127" s="169" t="s">
        <v>255</v>
      </c>
      <c r="C127" s="157">
        <v>8487684</v>
      </c>
      <c r="D127" s="157">
        <v>9162257</v>
      </c>
      <c r="E127" s="157">
        <f t="shared" si="6"/>
        <v>674573</v>
      </c>
      <c r="F127" s="161">
        <f t="shared" si="7"/>
        <v>7.9476686455339285E-2</v>
      </c>
    </row>
    <row r="128" spans="1:6" ht="15" customHeight="1" x14ac:dyDescent="0.2">
      <c r="A128" s="147">
        <v>5</v>
      </c>
      <c r="B128" s="169" t="s">
        <v>256</v>
      </c>
      <c r="C128" s="157">
        <v>731516</v>
      </c>
      <c r="D128" s="157">
        <v>721079</v>
      </c>
      <c r="E128" s="157">
        <f t="shared" si="6"/>
        <v>-10437</v>
      </c>
      <c r="F128" s="161">
        <f t="shared" si="7"/>
        <v>-1.4267630509790626E-2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40172952</v>
      </c>
      <c r="D130" s="158">
        <f>SUM(D124:D129)</f>
        <v>44328196</v>
      </c>
      <c r="E130" s="158">
        <f t="shared" si="6"/>
        <v>4155244</v>
      </c>
      <c r="F130" s="159">
        <f t="shared" si="7"/>
        <v>0.1034338726215589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28986986</v>
      </c>
      <c r="D133" s="157">
        <v>29358703</v>
      </c>
      <c r="E133" s="157">
        <f t="shared" ref="E133:E167" si="8">D133-C133</f>
        <v>371717</v>
      </c>
      <c r="F133" s="161">
        <f t="shared" ref="F133:F167" si="9">IF(C133=0,0,E133/C133)</f>
        <v>1.2823582279302857E-2</v>
      </c>
    </row>
    <row r="134" spans="1:6" ht="15" customHeight="1" x14ac:dyDescent="0.2">
      <c r="A134" s="147">
        <v>2</v>
      </c>
      <c r="B134" s="169" t="s">
        <v>261</v>
      </c>
      <c r="C134" s="157">
        <v>3802189</v>
      </c>
      <c r="D134" s="157">
        <v>4266971</v>
      </c>
      <c r="E134" s="157">
        <f t="shared" si="8"/>
        <v>464782</v>
      </c>
      <c r="F134" s="161">
        <f t="shared" si="9"/>
        <v>0.12224063559176043</v>
      </c>
    </row>
    <row r="135" spans="1:6" ht="15" customHeight="1" x14ac:dyDescent="0.2">
      <c r="A135" s="147">
        <v>3</v>
      </c>
      <c r="B135" s="169" t="s">
        <v>262</v>
      </c>
      <c r="C135" s="157">
        <v>3853375</v>
      </c>
      <c r="D135" s="157">
        <v>3732142</v>
      </c>
      <c r="E135" s="157">
        <f t="shared" si="8"/>
        <v>-121233</v>
      </c>
      <c r="F135" s="161">
        <f t="shared" si="9"/>
        <v>-3.1461511013072957E-2</v>
      </c>
    </row>
    <row r="136" spans="1:6" ht="15" customHeight="1" x14ac:dyDescent="0.2">
      <c r="A136" s="147">
        <v>4</v>
      </c>
      <c r="B136" s="169" t="s">
        <v>263</v>
      </c>
      <c r="C136" s="157">
        <v>3163829</v>
      </c>
      <c r="D136" s="157">
        <v>3173760</v>
      </c>
      <c r="E136" s="157">
        <f t="shared" si="8"/>
        <v>9931</v>
      </c>
      <c r="F136" s="161">
        <f t="shared" si="9"/>
        <v>3.1389180641558062E-3</v>
      </c>
    </row>
    <row r="137" spans="1:6" ht="15" customHeight="1" x14ac:dyDescent="0.2">
      <c r="A137" s="147">
        <v>5</v>
      </c>
      <c r="B137" s="169" t="s">
        <v>264</v>
      </c>
      <c r="C137" s="157">
        <v>8796055</v>
      </c>
      <c r="D137" s="157">
        <v>10320833</v>
      </c>
      <c r="E137" s="157">
        <f t="shared" si="8"/>
        <v>1524778</v>
      </c>
      <c r="F137" s="161">
        <f t="shared" si="9"/>
        <v>0.17334793836555137</v>
      </c>
    </row>
    <row r="138" spans="1:6" ht="15" customHeight="1" x14ac:dyDescent="0.2">
      <c r="A138" s="147">
        <v>6</v>
      </c>
      <c r="B138" s="169" t="s">
        <v>265</v>
      </c>
      <c r="C138" s="157">
        <v>884424</v>
      </c>
      <c r="D138" s="157">
        <v>935615</v>
      </c>
      <c r="E138" s="157">
        <f t="shared" si="8"/>
        <v>51191</v>
      </c>
      <c r="F138" s="161">
        <f t="shared" si="9"/>
        <v>5.7880609300516493E-2</v>
      </c>
    </row>
    <row r="139" spans="1:6" ht="15" customHeight="1" x14ac:dyDescent="0.2">
      <c r="A139" s="147">
        <v>7</v>
      </c>
      <c r="B139" s="169" t="s">
        <v>266</v>
      </c>
      <c r="C139" s="157">
        <v>2723407</v>
      </c>
      <c r="D139" s="157">
        <v>4406021</v>
      </c>
      <c r="E139" s="157">
        <f t="shared" si="8"/>
        <v>1682614</v>
      </c>
      <c r="F139" s="161">
        <f t="shared" si="9"/>
        <v>0.61783420546396484</v>
      </c>
    </row>
    <row r="140" spans="1:6" ht="15" customHeight="1" x14ac:dyDescent="0.2">
      <c r="A140" s="147">
        <v>8</v>
      </c>
      <c r="B140" s="169" t="s">
        <v>267</v>
      </c>
      <c r="C140" s="157">
        <v>1486032</v>
      </c>
      <c r="D140" s="157">
        <v>1568713</v>
      </c>
      <c r="E140" s="157">
        <f t="shared" si="8"/>
        <v>82681</v>
      </c>
      <c r="F140" s="161">
        <f t="shared" si="9"/>
        <v>5.5638774938897684E-2</v>
      </c>
    </row>
    <row r="141" spans="1:6" ht="15" customHeight="1" x14ac:dyDescent="0.2">
      <c r="A141" s="147">
        <v>9</v>
      </c>
      <c r="B141" s="169" t="s">
        <v>268</v>
      </c>
      <c r="C141" s="157">
        <v>1045618</v>
      </c>
      <c r="D141" s="157">
        <v>1077339</v>
      </c>
      <c r="E141" s="157">
        <f t="shared" si="8"/>
        <v>31721</v>
      </c>
      <c r="F141" s="161">
        <f t="shared" si="9"/>
        <v>3.0337082949987472E-2</v>
      </c>
    </row>
    <row r="142" spans="1:6" ht="15" customHeight="1" x14ac:dyDescent="0.2">
      <c r="A142" s="147">
        <v>10</v>
      </c>
      <c r="B142" s="169" t="s">
        <v>269</v>
      </c>
      <c r="C142" s="157">
        <v>17683557</v>
      </c>
      <c r="D142" s="157">
        <v>18273757</v>
      </c>
      <c r="E142" s="157">
        <f t="shared" si="8"/>
        <v>590200</v>
      </c>
      <c r="F142" s="161">
        <f t="shared" si="9"/>
        <v>3.3375638170533226E-2</v>
      </c>
    </row>
    <row r="143" spans="1:6" ht="15" customHeight="1" x14ac:dyDescent="0.2">
      <c r="A143" s="147">
        <v>11</v>
      </c>
      <c r="B143" s="169" t="s">
        <v>270</v>
      </c>
      <c r="C143" s="157">
        <v>2391001</v>
      </c>
      <c r="D143" s="157">
        <v>2890304</v>
      </c>
      <c r="E143" s="157">
        <f t="shared" si="8"/>
        <v>499303</v>
      </c>
      <c r="F143" s="161">
        <f t="shared" si="9"/>
        <v>0.20882592688167007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4318161</v>
      </c>
      <c r="D145" s="157">
        <v>4552568</v>
      </c>
      <c r="E145" s="157">
        <f t="shared" si="8"/>
        <v>234407</v>
      </c>
      <c r="F145" s="161">
        <f t="shared" si="9"/>
        <v>5.4283988021752778E-2</v>
      </c>
    </row>
    <row r="146" spans="1:6" ht="15" customHeight="1" x14ac:dyDescent="0.2">
      <c r="A146" s="147">
        <v>14</v>
      </c>
      <c r="B146" s="169" t="s">
        <v>273</v>
      </c>
      <c r="C146" s="157">
        <v>664684</v>
      </c>
      <c r="D146" s="157">
        <v>738197</v>
      </c>
      <c r="E146" s="157">
        <f t="shared" si="8"/>
        <v>73513</v>
      </c>
      <c r="F146" s="161">
        <f t="shared" si="9"/>
        <v>0.11059841970018836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862546</v>
      </c>
      <c r="E147" s="157">
        <f t="shared" si="8"/>
        <v>862546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3929648</v>
      </c>
      <c r="D150" s="157">
        <v>4276864</v>
      </c>
      <c r="E150" s="157">
        <f t="shared" si="8"/>
        <v>347216</v>
      </c>
      <c r="F150" s="161">
        <f t="shared" si="9"/>
        <v>8.8358041229138082E-2</v>
      </c>
    </row>
    <row r="151" spans="1:6" ht="15" customHeight="1" x14ac:dyDescent="0.2">
      <c r="A151" s="147">
        <v>19</v>
      </c>
      <c r="B151" s="169" t="s">
        <v>278</v>
      </c>
      <c r="C151" s="157">
        <v>624609</v>
      </c>
      <c r="D151" s="157">
        <v>679591</v>
      </c>
      <c r="E151" s="157">
        <f t="shared" si="8"/>
        <v>54982</v>
      </c>
      <c r="F151" s="161">
        <f t="shared" si="9"/>
        <v>8.8026269234032811E-2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234304</v>
      </c>
      <c r="D153" s="157">
        <v>235071</v>
      </c>
      <c r="E153" s="157">
        <f t="shared" si="8"/>
        <v>767</v>
      </c>
      <c r="F153" s="161">
        <f t="shared" si="9"/>
        <v>3.2735249931712647E-3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11715416</v>
      </c>
      <c r="D156" s="157">
        <v>12443246</v>
      </c>
      <c r="E156" s="157">
        <f t="shared" si="8"/>
        <v>727830</v>
      </c>
      <c r="F156" s="161">
        <f t="shared" si="9"/>
        <v>6.2125834882858617E-2</v>
      </c>
    </row>
    <row r="157" spans="1:6" ht="15" customHeight="1" x14ac:dyDescent="0.2">
      <c r="A157" s="147">
        <v>25</v>
      </c>
      <c r="B157" s="169" t="s">
        <v>284</v>
      </c>
      <c r="C157" s="157">
        <v>1292523</v>
      </c>
      <c r="D157" s="157">
        <v>1804805</v>
      </c>
      <c r="E157" s="157">
        <f t="shared" si="8"/>
        <v>512282</v>
      </c>
      <c r="F157" s="161">
        <f t="shared" si="9"/>
        <v>0.39634265695852222</v>
      </c>
    </row>
    <row r="158" spans="1:6" ht="15" customHeight="1" x14ac:dyDescent="0.2">
      <c r="A158" s="147">
        <v>26</v>
      </c>
      <c r="B158" s="169" t="s">
        <v>285</v>
      </c>
      <c r="C158" s="157">
        <v>284686</v>
      </c>
      <c r="D158" s="157">
        <v>278054</v>
      </c>
      <c r="E158" s="157">
        <f t="shared" si="8"/>
        <v>-6632</v>
      </c>
      <c r="F158" s="161">
        <f t="shared" si="9"/>
        <v>-2.3295841734402113E-2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933925</v>
      </c>
      <c r="D161" s="157">
        <v>1014650</v>
      </c>
      <c r="E161" s="157">
        <f t="shared" si="8"/>
        <v>80725</v>
      </c>
      <c r="F161" s="161">
        <f t="shared" si="9"/>
        <v>8.6436277002971337E-2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6927297</v>
      </c>
      <c r="D163" s="157">
        <v>8242821</v>
      </c>
      <c r="E163" s="157">
        <f t="shared" si="8"/>
        <v>1315524</v>
      </c>
      <c r="F163" s="161">
        <f t="shared" si="9"/>
        <v>0.18990437395711487</v>
      </c>
    </row>
    <row r="164" spans="1:6" ht="15" customHeight="1" x14ac:dyDescent="0.2">
      <c r="A164" s="147">
        <v>32</v>
      </c>
      <c r="B164" s="169" t="s">
        <v>291</v>
      </c>
      <c r="C164" s="157">
        <v>911324</v>
      </c>
      <c r="D164" s="157">
        <v>1094457</v>
      </c>
      <c r="E164" s="157">
        <f t="shared" si="8"/>
        <v>183133</v>
      </c>
      <c r="F164" s="161">
        <f t="shared" si="9"/>
        <v>0.20095267983724779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1932214</v>
      </c>
      <c r="D166" s="157">
        <v>2088180</v>
      </c>
      <c r="E166" s="157">
        <f t="shared" si="8"/>
        <v>155966</v>
      </c>
      <c r="F166" s="161">
        <f t="shared" si="9"/>
        <v>8.071880236868173E-2</v>
      </c>
    </row>
    <row r="167" spans="1:6" ht="15.75" customHeight="1" x14ac:dyDescent="0.25">
      <c r="A167" s="147"/>
      <c r="B167" s="165" t="s">
        <v>294</v>
      </c>
      <c r="C167" s="158">
        <f>SUM(C133:C166)</f>
        <v>108585264</v>
      </c>
      <c r="D167" s="158">
        <f>SUM(D133:D166)</f>
        <v>118315208</v>
      </c>
      <c r="E167" s="158">
        <f t="shared" si="8"/>
        <v>9729944</v>
      </c>
      <c r="F167" s="159">
        <f t="shared" si="9"/>
        <v>8.9606486567090721E-2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32938393</v>
      </c>
      <c r="D170" s="157">
        <v>37063745</v>
      </c>
      <c r="E170" s="157">
        <f t="shared" ref="E170:E183" si="10">D170-C170</f>
        <v>4125352</v>
      </c>
      <c r="F170" s="161">
        <f t="shared" ref="F170:F183" si="11">IF(C170=0,0,E170/C170)</f>
        <v>0.12524448293515716</v>
      </c>
    </row>
    <row r="171" spans="1:6" ht="15" customHeight="1" x14ac:dyDescent="0.2">
      <c r="A171" s="147">
        <v>2</v>
      </c>
      <c r="B171" s="169" t="s">
        <v>297</v>
      </c>
      <c r="C171" s="157">
        <v>7837011</v>
      </c>
      <c r="D171" s="157">
        <v>8360123</v>
      </c>
      <c r="E171" s="157">
        <f t="shared" si="10"/>
        <v>523112</v>
      </c>
      <c r="F171" s="161">
        <f t="shared" si="11"/>
        <v>6.6748917412518621E-2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6277492</v>
      </c>
      <c r="D173" s="157">
        <v>6659874</v>
      </c>
      <c r="E173" s="157">
        <f t="shared" si="10"/>
        <v>382382</v>
      </c>
      <c r="F173" s="161">
        <f t="shared" si="11"/>
        <v>6.0913179976971696E-2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13473746</v>
      </c>
      <c r="D177" s="157">
        <v>14757468</v>
      </c>
      <c r="E177" s="157">
        <f t="shared" si="10"/>
        <v>1283722</v>
      </c>
      <c r="F177" s="161">
        <f t="shared" si="11"/>
        <v>9.5275805258611818E-2</v>
      </c>
    </row>
    <row r="178" spans="1:6" ht="15" customHeight="1" x14ac:dyDescent="0.2">
      <c r="A178" s="147">
        <v>9</v>
      </c>
      <c r="B178" s="169" t="s">
        <v>304</v>
      </c>
      <c r="C178" s="157">
        <v>3756367</v>
      </c>
      <c r="D178" s="157">
        <v>3978954</v>
      </c>
      <c r="E178" s="157">
        <f t="shared" si="10"/>
        <v>222587</v>
      </c>
      <c r="F178" s="161">
        <f t="shared" si="11"/>
        <v>5.9255924674026794E-2</v>
      </c>
    </row>
    <row r="179" spans="1:6" ht="15" customHeight="1" x14ac:dyDescent="0.2">
      <c r="A179" s="147">
        <v>10</v>
      </c>
      <c r="B179" s="169" t="s">
        <v>305</v>
      </c>
      <c r="C179" s="157">
        <v>9428433</v>
      </c>
      <c r="D179" s="157">
        <v>10228220</v>
      </c>
      <c r="E179" s="157">
        <f t="shared" si="10"/>
        <v>799787</v>
      </c>
      <c r="F179" s="161">
        <f t="shared" si="11"/>
        <v>8.4827139356030853E-2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21975938</v>
      </c>
      <c r="D181" s="157">
        <v>28417112</v>
      </c>
      <c r="E181" s="157">
        <f t="shared" si="10"/>
        <v>6441174</v>
      </c>
      <c r="F181" s="161">
        <f t="shared" si="11"/>
        <v>0.29310120914975279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95687380</v>
      </c>
      <c r="D183" s="158">
        <f>SUM(D170:D182)</f>
        <v>109465496</v>
      </c>
      <c r="E183" s="158">
        <f t="shared" si="10"/>
        <v>13778116</v>
      </c>
      <c r="F183" s="159">
        <f t="shared" si="11"/>
        <v>0.1439909421702214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340779258</v>
      </c>
      <c r="D188" s="158">
        <f>+D186+D183+D167+D130+D121</f>
        <v>373828923</v>
      </c>
      <c r="E188" s="158">
        <f>D188-C188</f>
        <v>33049665</v>
      </c>
      <c r="F188" s="159">
        <f>IF(C188=0,0,E188/C188)</f>
        <v>9.6982619171029474E-2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B38" sqref="B38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286757590</v>
      </c>
      <c r="D11" s="183">
        <v>337300171</v>
      </c>
      <c r="E11" s="76">
        <v>351910875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21955590</v>
      </c>
      <c r="D12" s="185">
        <v>22995416</v>
      </c>
      <c r="E12" s="185">
        <v>26160445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308713180</v>
      </c>
      <c r="D13" s="76">
        <f>+D11+D12</f>
        <v>360295587</v>
      </c>
      <c r="E13" s="76">
        <f>+E11+E12</f>
        <v>378071320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326572641</v>
      </c>
      <c r="D14" s="185">
        <v>340779258</v>
      </c>
      <c r="E14" s="185">
        <v>373828923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-17859461</v>
      </c>
      <c r="D15" s="76">
        <f>+D13-D14</f>
        <v>19516329</v>
      </c>
      <c r="E15" s="76">
        <f>+E13-E14</f>
        <v>4242397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9539892</v>
      </c>
      <c r="D16" s="185">
        <v>8202084</v>
      </c>
      <c r="E16" s="185">
        <v>281519818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-8319569</v>
      </c>
      <c r="D17" s="76">
        <f>D15+D16</f>
        <v>27718413</v>
      </c>
      <c r="E17" s="76">
        <f>E15+E16</f>
        <v>285762215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-5.6117167660835653E-2</v>
      </c>
      <c r="D20" s="189">
        <f>IF(+D27=0,0,+D24/+D27)</f>
        <v>5.2961878828265377E-2</v>
      </c>
      <c r="E20" s="189">
        <f>IF(+E27=0,0,+E24/+E27)</f>
        <v>6.4318587009275438E-3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2.9975804915403928E-2</v>
      </c>
      <c r="D21" s="189">
        <f>IF(D27=0,0,+D26/D27)</f>
        <v>2.2258170527216167E-2</v>
      </c>
      <c r="E21" s="189">
        <f>IF(E27=0,0,+E26/E27)</f>
        <v>0.42680958215057158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-2.6141362745431725E-2</v>
      </c>
      <c r="D22" s="189">
        <f>IF(D27=0,0,+D28/D27)</f>
        <v>7.5220049355481544E-2</v>
      </c>
      <c r="E22" s="189">
        <f>IF(E27=0,0,+E28/E27)</f>
        <v>0.43324144085149913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-17859461</v>
      </c>
      <c r="D24" s="76">
        <f>+D15</f>
        <v>19516329</v>
      </c>
      <c r="E24" s="76">
        <f>+E15</f>
        <v>4242397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308713180</v>
      </c>
      <c r="D25" s="76">
        <f>+D13</f>
        <v>360295587</v>
      </c>
      <c r="E25" s="76">
        <f>+E13</f>
        <v>378071320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9539892</v>
      </c>
      <c r="D26" s="76">
        <f>+D16</f>
        <v>8202084</v>
      </c>
      <c r="E26" s="76">
        <f>+E16</f>
        <v>281519818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318253072</v>
      </c>
      <c r="D27" s="76">
        <f>+D25+D26</f>
        <v>368497671</v>
      </c>
      <c r="E27" s="76">
        <f>+E25+E26</f>
        <v>659591138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-8319569</v>
      </c>
      <c r="D28" s="76">
        <f>+D17</f>
        <v>27718413</v>
      </c>
      <c r="E28" s="76">
        <f>+E17</f>
        <v>285762215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71355029</v>
      </c>
      <c r="D31" s="76">
        <v>-39597512</v>
      </c>
      <c r="E31" s="76">
        <v>246164703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71355029</v>
      </c>
      <c r="D32" s="76">
        <v>-39597512</v>
      </c>
      <c r="E32" s="76">
        <v>246164703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-8319569</v>
      </c>
      <c r="D33" s="76">
        <f>+D32-C32</f>
        <v>-110952541</v>
      </c>
      <c r="E33" s="76">
        <f>+E32-D32</f>
        <v>285762215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0.89549999999999996</v>
      </c>
      <c r="D34" s="193">
        <f>IF(C32=0,0,+D33/C32)</f>
        <v>-1.5549365273189084</v>
      </c>
      <c r="E34" s="193">
        <f>IF(D32=0,0,+E33/D32)</f>
        <v>-7.2166709615493012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0.47377001303967536</v>
      </c>
      <c r="D38" s="195">
        <f>IF((D40+D41)=0,0,+D39/(D40+D41))</f>
        <v>0.43293762691328075</v>
      </c>
      <c r="E38" s="195">
        <f>IF((E40+E41)=0,0,+E39/(E40+E41))</f>
        <v>0.41641777854727791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326572641</v>
      </c>
      <c r="D39" s="76">
        <v>340779258</v>
      </c>
      <c r="E39" s="196">
        <v>373828923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667350681</v>
      </c>
      <c r="D40" s="76">
        <v>764177041</v>
      </c>
      <c r="E40" s="196">
        <v>871015210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21955590</v>
      </c>
      <c r="D41" s="76">
        <v>22955416</v>
      </c>
      <c r="E41" s="196">
        <v>26710445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1.0973844218885738</v>
      </c>
      <c r="D43" s="197">
        <f>IF(D38=0,0,IF((D46-D47)=0,0,((+D44-D45)/(D46-D47)/D38)))</f>
        <v>1.2813241947679521</v>
      </c>
      <c r="E43" s="197">
        <f>IF(E38=0,0,IF((E46-E47)=0,0,((+E44-E45)/(E46-E47)/E38)))</f>
        <v>1.1787528447310989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126170158</v>
      </c>
      <c r="D44" s="76">
        <v>153377857</v>
      </c>
      <c r="E44" s="196">
        <v>157501682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824761</v>
      </c>
      <c r="D45" s="76">
        <v>860565</v>
      </c>
      <c r="E45" s="196">
        <v>893074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245063674</v>
      </c>
      <c r="D46" s="76">
        <v>278276241</v>
      </c>
      <c r="E46" s="196">
        <v>323122775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3972101</v>
      </c>
      <c r="D47" s="76">
        <v>3338268</v>
      </c>
      <c r="E47" s="76">
        <v>4069202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0.88017826264598453</v>
      </c>
      <c r="D49" s="198">
        <f>IF(D38=0,0,IF(D51=0,0,(D50/D51)/D38))</f>
        <v>0.94410604451147162</v>
      </c>
      <c r="E49" s="198">
        <f>IF(E38=0,0,IF(E51=0,0,(E50/E51)/E38))</f>
        <v>0.90065857950971062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114480474</v>
      </c>
      <c r="D50" s="199">
        <v>124790720</v>
      </c>
      <c r="E50" s="199">
        <v>129876638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274532150</v>
      </c>
      <c r="D51" s="199">
        <v>305306591</v>
      </c>
      <c r="E51" s="199">
        <v>346291303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0.75817002394327537</v>
      </c>
      <c r="D53" s="198">
        <f>IF(D38=0,0,IF(D55=0,0,(D54/D55)/D38))</f>
        <v>0.83388644694136826</v>
      </c>
      <c r="E53" s="198">
        <f>IF(E38=0,0,IF(E55=0,0,(E54/E55)/E38))</f>
        <v>0.84082963393815491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51867164</v>
      </c>
      <c r="D54" s="199">
        <v>63586763</v>
      </c>
      <c r="E54" s="199">
        <v>69040439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144397051</v>
      </c>
      <c r="D55" s="199">
        <v>176130460</v>
      </c>
      <c r="E55" s="199">
        <v>197181548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3071552.8550890191</v>
      </c>
      <c r="D57" s="88">
        <f>+D60*D38</f>
        <v>4763043.8288850645</v>
      </c>
      <c r="E57" s="88">
        <f>+E60*E38</f>
        <v>2595761.8762989412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583681</v>
      </c>
      <c r="D58" s="199">
        <v>379861</v>
      </c>
      <c r="E58" s="199">
        <v>368086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5899534</v>
      </c>
      <c r="D59" s="199">
        <v>10621825</v>
      </c>
      <c r="E59" s="199">
        <v>5865466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6483215</v>
      </c>
      <c r="D60" s="76">
        <v>11001686</v>
      </c>
      <c r="E60" s="201">
        <v>6233552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9.405420018295467E-3</v>
      </c>
      <c r="D62" s="202">
        <f>IF(D63=0,0,+D57/D63)</f>
        <v>1.3976918245667007E-2</v>
      </c>
      <c r="E62" s="202">
        <f>IF(E63=0,0,+E57/E63)</f>
        <v>6.9437160064229194E-3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326572641</v>
      </c>
      <c r="D63" s="199">
        <v>340779258</v>
      </c>
      <c r="E63" s="199">
        <v>373828923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1.3788890643928777</v>
      </c>
      <c r="D67" s="203">
        <f>IF(D69=0,0,D68/D69)</f>
        <v>2.0871038932248207</v>
      </c>
      <c r="E67" s="203">
        <f>IF(E69=0,0,E68/E69)</f>
        <v>1.9622447727931447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67323525</v>
      </c>
      <c r="D68" s="204">
        <v>89221836</v>
      </c>
      <c r="E68" s="204">
        <v>105404731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48824468</v>
      </c>
      <c r="D69" s="204">
        <v>42749111</v>
      </c>
      <c r="E69" s="204">
        <v>53716403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</v>
      </c>
      <c r="D71" s="203">
        <f>IF((D77/365)=0,0,+D74/(D77/365))</f>
        <v>26.648688786964854</v>
      </c>
      <c r="E71" s="203">
        <f>IF((E77/365)=0,0,+E74/(E77/365))</f>
        <v>35.955365470634241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0</v>
      </c>
      <c r="D72" s="183">
        <v>24305080</v>
      </c>
      <c r="E72" s="183">
        <v>35947283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0</v>
      </c>
      <c r="D74" s="204">
        <f>+D72+D73</f>
        <v>24305080</v>
      </c>
      <c r="E74" s="204">
        <f>+E72+E73</f>
        <v>35947283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326572641</v>
      </c>
      <c r="D75" s="204">
        <f>+D14</f>
        <v>340779258</v>
      </c>
      <c r="E75" s="204">
        <f>+E14</f>
        <v>373828923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8906755</v>
      </c>
      <c r="D76" s="204">
        <v>7879044</v>
      </c>
      <c r="E76" s="204">
        <v>8910972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317665886</v>
      </c>
      <c r="D77" s="204">
        <f>+D75-D76</f>
        <v>332900214</v>
      </c>
      <c r="E77" s="204">
        <f>+E75-E76</f>
        <v>364917951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36.851016968722604</v>
      </c>
      <c r="D79" s="203">
        <f>IF((D84/365)=0,0,+D83/(D84/365))</f>
        <v>23.342349565544691</v>
      </c>
      <c r="E79" s="203">
        <f>IF((E84/365)=0,0,+E83/(E84/365))</f>
        <v>16.691695489660557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33443105</v>
      </c>
      <c r="D80" s="212">
        <v>38296752</v>
      </c>
      <c r="E80" s="212">
        <v>40048674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4491574</v>
      </c>
      <c r="D82" s="212">
        <v>16725852</v>
      </c>
      <c r="E82" s="212">
        <v>23955553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28951531</v>
      </c>
      <c r="D83" s="212">
        <f>+D80+D81-D82</f>
        <v>21570900</v>
      </c>
      <c r="E83" s="212">
        <f>+E80+E81-E82</f>
        <v>16093121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286757590</v>
      </c>
      <c r="D84" s="204">
        <f>+D11</f>
        <v>337300171</v>
      </c>
      <c r="E84" s="204">
        <f>+E11</f>
        <v>351910875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56.099605294098211</v>
      </c>
      <c r="D86" s="203">
        <f>IF((D90/365)=0,0,+D87/(D90/365))</f>
        <v>46.871178986385395</v>
      </c>
      <c r="E86" s="203">
        <f>IF((E90/365)=0,0,+E87/(E90/365))</f>
        <v>53.728480720862095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48824468</v>
      </c>
      <c r="D87" s="76">
        <f>+D69</f>
        <v>42749111</v>
      </c>
      <c r="E87" s="76">
        <f>+E69</f>
        <v>53716403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326572641</v>
      </c>
      <c r="D88" s="76">
        <f t="shared" si="0"/>
        <v>340779258</v>
      </c>
      <c r="E88" s="76">
        <f t="shared" si="0"/>
        <v>373828923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8906755</v>
      </c>
      <c r="D89" s="201">
        <f t="shared" si="0"/>
        <v>7879044</v>
      </c>
      <c r="E89" s="201">
        <f t="shared" si="0"/>
        <v>8910972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317665886</v>
      </c>
      <c r="D90" s="76">
        <f>+D88-D89</f>
        <v>332900214</v>
      </c>
      <c r="E90" s="76">
        <f>+E88-E89</f>
        <v>364917951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55.429974577573546</v>
      </c>
      <c r="D94" s="214">
        <f>IF(D96=0,0,(D95/D96)*100)</f>
        <v>-23.918175467825719</v>
      </c>
      <c r="E94" s="214">
        <f>IF(E96=0,0,(E95/E96)*100)</f>
        <v>49.482602597274415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71355029</v>
      </c>
      <c r="D95" s="76">
        <f>+D32</f>
        <v>-39597512</v>
      </c>
      <c r="E95" s="76">
        <f>+E32</f>
        <v>246164703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128730041</v>
      </c>
      <c r="D96" s="76">
        <v>165554066</v>
      </c>
      <c r="E96" s="76">
        <v>497477275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1.2026470006800689</v>
      </c>
      <c r="D98" s="214">
        <f>IF(D104=0,0,(D101/D104)*100)</f>
        <v>83.270636902835236</v>
      </c>
      <c r="E98" s="214">
        <f>IF(E104=0,0,(E101/E104)*100)</f>
        <v>548.57207583314914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-8319569</v>
      </c>
      <c r="D99" s="76">
        <f>+D28</f>
        <v>27718413</v>
      </c>
      <c r="E99" s="76">
        <f>+E28</f>
        <v>285762215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8906755</v>
      </c>
      <c r="D100" s="201">
        <f>+D76</f>
        <v>7879044</v>
      </c>
      <c r="E100" s="201">
        <f>+E76</f>
        <v>8910972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587186</v>
      </c>
      <c r="D101" s="76">
        <f>+D99+D100</f>
        <v>35597457</v>
      </c>
      <c r="E101" s="76">
        <f>+E99+E100</f>
        <v>294673187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48824468</v>
      </c>
      <c r="D102" s="204">
        <f>+D69</f>
        <v>42749111</v>
      </c>
      <c r="E102" s="204">
        <f>+E69</f>
        <v>53716403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0</v>
      </c>
      <c r="D103" s="216">
        <v>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48824468</v>
      </c>
      <c r="D104" s="204">
        <f>+D102+D103</f>
        <v>42749111</v>
      </c>
      <c r="E104" s="204">
        <f>+E102+E103</f>
        <v>53716403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0</v>
      </c>
      <c r="D106" s="214">
        <f>IF(D109=0,0,(D107/D109)*100)</f>
        <v>0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0</v>
      </c>
      <c r="D107" s="204">
        <f>+D103</f>
        <v>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71355029</v>
      </c>
      <c r="D108" s="204">
        <f>+D32</f>
        <v>-39597512</v>
      </c>
      <c r="E108" s="204">
        <f>+E32</f>
        <v>246164703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71355029</v>
      </c>
      <c r="D109" s="204">
        <f>+D107+D108</f>
        <v>-39597512</v>
      </c>
      <c r="E109" s="204">
        <f>+E107+E108</f>
        <v>246164703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587186</v>
      </c>
      <c r="D111" s="214">
        <f>IF((+D113+D115)=0,0,((+D112+D113+D114)/(+D113+D115)))</f>
        <v>35597457</v>
      </c>
      <c r="E111" s="214">
        <f>IF((+E113+E115)=0,0,((+E112+E113+E114)/(+E113+E115)))</f>
        <v>294673187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-8319569</v>
      </c>
      <c r="D112" s="76">
        <f>+D17</f>
        <v>27718413</v>
      </c>
      <c r="E112" s="76">
        <f>+E17</f>
        <v>285762215</v>
      </c>
    </row>
    <row r="113" spans="1:8" ht="24" customHeight="1" x14ac:dyDescent="0.2">
      <c r="A113" s="85">
        <v>17</v>
      </c>
      <c r="B113" s="75" t="s">
        <v>88</v>
      </c>
      <c r="C113" s="218">
        <v>0</v>
      </c>
      <c r="D113" s="76">
        <v>0</v>
      </c>
      <c r="E113" s="76">
        <v>0</v>
      </c>
    </row>
    <row r="114" spans="1:8" ht="24" customHeight="1" x14ac:dyDescent="0.2">
      <c r="A114" s="85">
        <v>18</v>
      </c>
      <c r="B114" s="75" t="s">
        <v>374</v>
      </c>
      <c r="C114" s="218">
        <v>8906755</v>
      </c>
      <c r="D114" s="76">
        <v>7879044</v>
      </c>
      <c r="E114" s="76">
        <v>8910972</v>
      </c>
    </row>
    <row r="115" spans="1:8" ht="24" customHeight="1" x14ac:dyDescent="0.2">
      <c r="A115" s="85">
        <v>19</v>
      </c>
      <c r="B115" s="75" t="s">
        <v>104</v>
      </c>
      <c r="C115" s="218">
        <v>1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15.629903932464742</v>
      </c>
      <c r="D119" s="214">
        <f>IF(+D121=0,0,(+D120)/(+D121))</f>
        <v>18.158722936437467</v>
      </c>
      <c r="E119" s="214">
        <f>IF(+E121=0,0,(+E120)/(+E121))</f>
        <v>16.349302298335132</v>
      </c>
    </row>
    <row r="120" spans="1:8" ht="24" customHeight="1" x14ac:dyDescent="0.2">
      <c r="A120" s="85">
        <v>21</v>
      </c>
      <c r="B120" s="75" t="s">
        <v>378</v>
      </c>
      <c r="C120" s="218">
        <v>139211725</v>
      </c>
      <c r="D120" s="218">
        <v>143073377</v>
      </c>
      <c r="E120" s="218">
        <v>145688175</v>
      </c>
    </row>
    <row r="121" spans="1:8" ht="24" customHeight="1" x14ac:dyDescent="0.2">
      <c r="A121" s="85">
        <v>22</v>
      </c>
      <c r="B121" s="75" t="s">
        <v>374</v>
      </c>
      <c r="C121" s="218">
        <v>8906755</v>
      </c>
      <c r="D121" s="218">
        <v>7879044</v>
      </c>
      <c r="E121" s="218">
        <v>8910972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38723</v>
      </c>
      <c r="D124" s="218">
        <v>38384</v>
      </c>
      <c r="E124" s="218">
        <v>37746</v>
      </c>
    </row>
    <row r="125" spans="1:8" ht="24" customHeight="1" x14ac:dyDescent="0.2">
      <c r="A125" s="85">
        <v>2</v>
      </c>
      <c r="B125" s="75" t="s">
        <v>381</v>
      </c>
      <c r="C125" s="218">
        <v>8669</v>
      </c>
      <c r="D125" s="218">
        <v>8846</v>
      </c>
      <c r="E125" s="218">
        <v>9079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4.4668358518860307</v>
      </c>
      <c r="D126" s="219">
        <f>IF(D125=0,0,D124/D125)</f>
        <v>4.3391363328057881</v>
      </c>
      <c r="E126" s="219">
        <f>IF(E125=0,0,E124/E125)</f>
        <v>4.1575063332966185</v>
      </c>
    </row>
    <row r="127" spans="1:8" ht="24" customHeight="1" x14ac:dyDescent="0.2">
      <c r="A127" s="85">
        <v>4</v>
      </c>
      <c r="B127" s="75" t="s">
        <v>383</v>
      </c>
      <c r="C127" s="218">
        <v>184</v>
      </c>
      <c r="D127" s="218">
        <v>175</v>
      </c>
      <c r="E127" s="218">
        <v>198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234</v>
      </c>
      <c r="E128" s="218">
        <v>234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234</v>
      </c>
      <c r="D129" s="218">
        <v>234</v>
      </c>
      <c r="E129" s="218">
        <v>234</v>
      </c>
    </row>
    <row r="130" spans="1:7" ht="24" customHeight="1" x14ac:dyDescent="0.2">
      <c r="A130" s="85">
        <v>7</v>
      </c>
      <c r="B130" s="75" t="s">
        <v>386</v>
      </c>
      <c r="C130" s="193">
        <v>0.57650000000000001</v>
      </c>
      <c r="D130" s="193">
        <v>0.60089999999999999</v>
      </c>
      <c r="E130" s="193">
        <v>0.5222</v>
      </c>
    </row>
    <row r="131" spans="1:7" ht="24" customHeight="1" x14ac:dyDescent="0.2">
      <c r="A131" s="85">
        <v>8</v>
      </c>
      <c r="B131" s="75" t="s">
        <v>387</v>
      </c>
      <c r="C131" s="193">
        <v>0.45329999999999998</v>
      </c>
      <c r="D131" s="193">
        <v>0.44940000000000002</v>
      </c>
      <c r="E131" s="193">
        <v>0.44190000000000002</v>
      </c>
    </row>
    <row r="132" spans="1:7" ht="24" customHeight="1" x14ac:dyDescent="0.2">
      <c r="A132" s="85">
        <v>9</v>
      </c>
      <c r="B132" s="75" t="s">
        <v>388</v>
      </c>
      <c r="C132" s="219">
        <v>1303.8</v>
      </c>
      <c r="D132" s="219">
        <v>1283.8</v>
      </c>
      <c r="E132" s="219">
        <v>1363.6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0.36126669210666468</v>
      </c>
      <c r="D135" s="227">
        <f>IF(D149=0,0,D143/D149)</f>
        <v>0.35978308461114838</v>
      </c>
      <c r="E135" s="227">
        <f>IF(E149=0,0,E143/E149)</f>
        <v>0.36630080547043492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0.41137614423143143</v>
      </c>
      <c r="D136" s="227">
        <f>IF(D149=0,0,D144/D149)</f>
        <v>0.39952337563096196</v>
      </c>
      <c r="E136" s="227">
        <f>IF(E149=0,0,E144/E149)</f>
        <v>0.39757205043526161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0.21637357256251905</v>
      </c>
      <c r="D137" s="227">
        <f>IF(D149=0,0,D145/D149)</f>
        <v>0.23048384150551834</v>
      </c>
      <c r="E137" s="227">
        <f>IF(E149=0,0,E145/E149)</f>
        <v>0.22638129132096327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3.6323031788439879E-4</v>
      </c>
      <c r="D138" s="227">
        <f>IF(D149=0,0,D146/D149)</f>
        <v>6.5184633046310011E-4</v>
      </c>
      <c r="E138" s="227">
        <f>IF(E149=0,0,E146/E149)</f>
        <v>5.0667312686766971E-4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5.9520445742978125E-3</v>
      </c>
      <c r="D139" s="227">
        <f>IF(D149=0,0,D147/D149)</f>
        <v>4.3684484365449552E-3</v>
      </c>
      <c r="E139" s="227">
        <f>IF(E149=0,0,E147/E149)</f>
        <v>4.6717921263395622E-3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4.6683162072026115E-3</v>
      </c>
      <c r="D140" s="227">
        <f>IF(D149=0,0,D148/D149)</f>
        <v>5.1894034853632821E-3</v>
      </c>
      <c r="E140" s="227">
        <f>IF(E149=0,0,E148/E149)</f>
        <v>4.5673875201329723E-3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1.0000000000000002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241091573</v>
      </c>
      <c r="D143" s="229">
        <f>+D46-D147</f>
        <v>274937973</v>
      </c>
      <c r="E143" s="229">
        <f>+E46-E147</f>
        <v>319053573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274532150</v>
      </c>
      <c r="D144" s="229">
        <f>+D51</f>
        <v>305306591</v>
      </c>
      <c r="E144" s="229">
        <f>+E51</f>
        <v>346291303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144397051</v>
      </c>
      <c r="D145" s="229">
        <f>+D55</f>
        <v>176130460</v>
      </c>
      <c r="E145" s="229">
        <f>+E55</f>
        <v>197181548</v>
      </c>
    </row>
    <row r="146" spans="1:7" ht="20.100000000000001" customHeight="1" x14ac:dyDescent="0.2">
      <c r="A146" s="226">
        <v>11</v>
      </c>
      <c r="B146" s="224" t="s">
        <v>400</v>
      </c>
      <c r="C146" s="228">
        <v>242402</v>
      </c>
      <c r="D146" s="229">
        <v>498126</v>
      </c>
      <c r="E146" s="229">
        <v>441320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3972101</v>
      </c>
      <c r="D147" s="229">
        <f>+D47</f>
        <v>3338268</v>
      </c>
      <c r="E147" s="229">
        <f>+E47</f>
        <v>4069202</v>
      </c>
    </row>
    <row r="148" spans="1:7" ht="20.100000000000001" customHeight="1" x14ac:dyDescent="0.2">
      <c r="A148" s="226">
        <v>13</v>
      </c>
      <c r="B148" s="224" t="s">
        <v>402</v>
      </c>
      <c r="C148" s="230">
        <v>3115404</v>
      </c>
      <c r="D148" s="229">
        <v>3965623</v>
      </c>
      <c r="E148" s="229">
        <v>3978264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667350681</v>
      </c>
      <c r="D149" s="229">
        <f>SUM(D143:D148)</f>
        <v>764177041</v>
      </c>
      <c r="E149" s="229">
        <f>SUM(E143:E148)</f>
        <v>871015210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0.42672127042995017</v>
      </c>
      <c r="D152" s="227">
        <f>IF(D166=0,0,D160/D166)</f>
        <v>0.44439044765714258</v>
      </c>
      <c r="E152" s="227">
        <f>IF(E166=0,0,E160/E166)</f>
        <v>0.43776470363198916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0.38973312521961123</v>
      </c>
      <c r="D153" s="227">
        <f>IF(D166=0,0,D161/D166)</f>
        <v>0.36360338684912613</v>
      </c>
      <c r="E153" s="227">
        <f>IF(E166=0,0,E161/E166)</f>
        <v>0.36304139771671518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0.17657467003498004</v>
      </c>
      <c r="D154" s="227">
        <f>IF(D166=0,0,D162/D166)</f>
        <v>0.18527309070396181</v>
      </c>
      <c r="E154" s="227">
        <f>IF(E166=0,0,E162/E166)</f>
        <v>0.19298726745248529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2.7599513777938324E-4</v>
      </c>
      <c r="D155" s="227">
        <f>IF(D166=0,0,D163/D166)</f>
        <v>2.6718677938603822E-4</v>
      </c>
      <c r="E155" s="227">
        <f>IF(E166=0,0,E163/E166)</f>
        <v>1.2177911113564869E-4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2.807786086640869E-3</v>
      </c>
      <c r="D156" s="227">
        <f>IF(D166=0,0,D164/D166)</f>
        <v>2.5074328331771644E-3</v>
      </c>
      <c r="E156" s="227">
        <f>IF(E166=0,0,E164/E166)</f>
        <v>2.4963907151989697E-3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3.8871530910383058E-3</v>
      </c>
      <c r="D157" s="227">
        <f>IF(D166=0,0,D165/D166)</f>
        <v>3.9584551772062554E-3</v>
      </c>
      <c r="E157" s="227">
        <f>IF(E166=0,0,E165/E166)</f>
        <v>3.5884613724757402E-3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125345397</v>
      </c>
      <c r="D160" s="229">
        <f>+D44-D164</f>
        <v>152517292</v>
      </c>
      <c r="E160" s="229">
        <f>+E44-E164</f>
        <v>156608608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114480474</v>
      </c>
      <c r="D161" s="229">
        <f>+D50</f>
        <v>124790720</v>
      </c>
      <c r="E161" s="229">
        <f>+E50</f>
        <v>129876638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51867164</v>
      </c>
      <c r="D162" s="229">
        <f>+D54</f>
        <v>63586763</v>
      </c>
      <c r="E162" s="229">
        <f>+E54</f>
        <v>69040439</v>
      </c>
    </row>
    <row r="163" spans="1:6" ht="20.100000000000001" customHeight="1" x14ac:dyDescent="0.2">
      <c r="A163" s="226">
        <v>11</v>
      </c>
      <c r="B163" s="224" t="s">
        <v>415</v>
      </c>
      <c r="C163" s="228">
        <v>81071</v>
      </c>
      <c r="D163" s="229">
        <v>91700</v>
      </c>
      <c r="E163" s="229">
        <v>43566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824761</v>
      </c>
      <c r="D164" s="229">
        <f>+D45</f>
        <v>860565</v>
      </c>
      <c r="E164" s="229">
        <f>+E45</f>
        <v>893074</v>
      </c>
    </row>
    <row r="165" spans="1:6" ht="20.100000000000001" customHeight="1" x14ac:dyDescent="0.2">
      <c r="A165" s="226">
        <v>13</v>
      </c>
      <c r="B165" s="224" t="s">
        <v>417</v>
      </c>
      <c r="C165" s="230">
        <v>1141815</v>
      </c>
      <c r="D165" s="229">
        <v>1358564</v>
      </c>
      <c r="E165" s="229">
        <v>1283758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293740682</v>
      </c>
      <c r="D166" s="229">
        <f>SUM(D160:D165)</f>
        <v>343205604</v>
      </c>
      <c r="E166" s="229">
        <f>SUM(E160:E165)</f>
        <v>357746083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2508</v>
      </c>
      <c r="D169" s="218">
        <v>2495</v>
      </c>
      <c r="E169" s="218">
        <v>2617</v>
      </c>
    </row>
    <row r="170" spans="1:6" ht="20.100000000000001" customHeight="1" x14ac:dyDescent="0.2">
      <c r="A170" s="226">
        <v>2</v>
      </c>
      <c r="B170" s="224" t="s">
        <v>420</v>
      </c>
      <c r="C170" s="218">
        <v>3846</v>
      </c>
      <c r="D170" s="218">
        <v>3996</v>
      </c>
      <c r="E170" s="218">
        <v>4017</v>
      </c>
    </row>
    <row r="171" spans="1:6" ht="20.100000000000001" customHeight="1" x14ac:dyDescent="0.2">
      <c r="A171" s="226">
        <v>3</v>
      </c>
      <c r="B171" s="224" t="s">
        <v>421</v>
      </c>
      <c r="C171" s="218">
        <v>2277</v>
      </c>
      <c r="D171" s="218">
        <v>2312</v>
      </c>
      <c r="E171" s="218">
        <v>2406</v>
      </c>
    </row>
    <row r="172" spans="1:6" ht="20.100000000000001" customHeight="1" x14ac:dyDescent="0.2">
      <c r="A172" s="226">
        <v>4</v>
      </c>
      <c r="B172" s="224" t="s">
        <v>422</v>
      </c>
      <c r="C172" s="218">
        <v>2272</v>
      </c>
      <c r="D172" s="218">
        <v>2300</v>
      </c>
      <c r="E172" s="218">
        <v>2394</v>
      </c>
    </row>
    <row r="173" spans="1:6" ht="20.100000000000001" customHeight="1" x14ac:dyDescent="0.2">
      <c r="A173" s="226">
        <v>5</v>
      </c>
      <c r="B173" s="224" t="s">
        <v>423</v>
      </c>
      <c r="C173" s="218">
        <v>5</v>
      </c>
      <c r="D173" s="218">
        <v>12</v>
      </c>
      <c r="E173" s="218">
        <v>12</v>
      </c>
    </row>
    <row r="174" spans="1:6" ht="20.100000000000001" customHeight="1" x14ac:dyDescent="0.2">
      <c r="A174" s="226">
        <v>6</v>
      </c>
      <c r="B174" s="224" t="s">
        <v>424</v>
      </c>
      <c r="C174" s="218">
        <v>38</v>
      </c>
      <c r="D174" s="218">
        <v>43</v>
      </c>
      <c r="E174" s="218">
        <v>39</v>
      </c>
    </row>
    <row r="175" spans="1:6" ht="20.100000000000001" customHeight="1" x14ac:dyDescent="0.2">
      <c r="A175" s="226">
        <v>7</v>
      </c>
      <c r="B175" s="224" t="s">
        <v>425</v>
      </c>
      <c r="C175" s="218">
        <v>45</v>
      </c>
      <c r="D175" s="218">
        <v>21</v>
      </c>
      <c r="E175" s="218">
        <v>22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8669</v>
      </c>
      <c r="D176" s="218">
        <f>+D169+D170+D171+D174</f>
        <v>8846</v>
      </c>
      <c r="E176" s="218">
        <f>+E169+E170+E171+E174</f>
        <v>9079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1.3150999999999999</v>
      </c>
      <c r="D179" s="231">
        <v>1.3859999999999999</v>
      </c>
      <c r="E179" s="231">
        <v>1.3859999999999999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1.6133999999999999</v>
      </c>
      <c r="D180" s="231">
        <v>1.6297999999999999</v>
      </c>
      <c r="E180" s="231">
        <v>1.6897</v>
      </c>
    </row>
    <row r="181" spans="1:6" ht="20.100000000000001" customHeight="1" x14ac:dyDescent="0.2">
      <c r="A181" s="226">
        <v>3</v>
      </c>
      <c r="B181" s="224" t="s">
        <v>421</v>
      </c>
      <c r="C181" s="231">
        <v>1.37588</v>
      </c>
      <c r="D181" s="231">
        <v>1.4320539999999999</v>
      </c>
      <c r="E181" s="231">
        <v>1.4103330000000001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1.3765000000000001</v>
      </c>
      <c r="D182" s="231">
        <v>1.4349000000000001</v>
      </c>
      <c r="E182" s="231">
        <v>1.4126000000000001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1.0943000000000001</v>
      </c>
      <c r="D183" s="231">
        <v>0.88660000000000005</v>
      </c>
      <c r="E183" s="231">
        <v>0.95809999999999995</v>
      </c>
    </row>
    <row r="184" spans="1:6" ht="20.100000000000001" customHeight="1" x14ac:dyDescent="0.2">
      <c r="A184" s="226">
        <v>6</v>
      </c>
      <c r="B184" s="224" t="s">
        <v>424</v>
      </c>
      <c r="C184" s="231">
        <v>1.5103</v>
      </c>
      <c r="D184" s="231">
        <v>1.1761999999999999</v>
      </c>
      <c r="E184" s="231">
        <v>1.2506999999999999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1.0604</v>
      </c>
      <c r="D185" s="231">
        <v>1.2554000000000001</v>
      </c>
      <c r="E185" s="231">
        <v>1.4881</v>
      </c>
    </row>
    <row r="186" spans="1:6" ht="20.100000000000001" customHeight="1" x14ac:dyDescent="0.2">
      <c r="A186" s="226">
        <v>8</v>
      </c>
      <c r="B186" s="224" t="s">
        <v>429</v>
      </c>
      <c r="C186" s="231">
        <v>1.4642599999999999</v>
      </c>
      <c r="D186" s="231">
        <v>1.5071479999999999</v>
      </c>
      <c r="E186" s="231">
        <v>1.5262389999999999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5251</v>
      </c>
      <c r="D189" s="218">
        <v>5450</v>
      </c>
      <c r="E189" s="218">
        <v>5450</v>
      </c>
    </row>
    <row r="190" spans="1:6" ht="20.100000000000001" customHeight="1" x14ac:dyDescent="0.2">
      <c r="A190" s="226">
        <v>2</v>
      </c>
      <c r="B190" s="224" t="s">
        <v>433</v>
      </c>
      <c r="C190" s="218">
        <v>24390</v>
      </c>
      <c r="D190" s="218">
        <v>25370</v>
      </c>
      <c r="E190" s="218">
        <v>25686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29641</v>
      </c>
      <c r="D191" s="218">
        <f>+D190+D189</f>
        <v>30820</v>
      </c>
      <c r="E191" s="218">
        <f>+E190+E189</f>
        <v>31136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B38" sqref="B38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1659139</v>
      </c>
      <c r="D14" s="258">
        <v>3856355</v>
      </c>
      <c r="E14" s="258">
        <f t="shared" ref="E14:E24" si="0">D14-C14</f>
        <v>2197216</v>
      </c>
      <c r="F14" s="259">
        <f t="shared" ref="F14:F24" si="1">IF(C14=0,0,E14/C14)</f>
        <v>1.3243109829857536</v>
      </c>
    </row>
    <row r="15" spans="1:7" ht="20.25" customHeight="1" x14ac:dyDescent="0.3">
      <c r="A15" s="256">
        <v>2</v>
      </c>
      <c r="B15" s="257" t="s">
        <v>442</v>
      </c>
      <c r="C15" s="258">
        <v>719932</v>
      </c>
      <c r="D15" s="258">
        <v>1547197</v>
      </c>
      <c r="E15" s="258">
        <f t="shared" si="0"/>
        <v>827265</v>
      </c>
      <c r="F15" s="259">
        <f t="shared" si="1"/>
        <v>1.1490876916153192</v>
      </c>
    </row>
    <row r="16" spans="1:7" ht="20.25" customHeight="1" x14ac:dyDescent="0.3">
      <c r="A16" s="256">
        <v>3</v>
      </c>
      <c r="B16" s="257" t="s">
        <v>443</v>
      </c>
      <c r="C16" s="258">
        <v>1875305</v>
      </c>
      <c r="D16" s="258">
        <v>6426164</v>
      </c>
      <c r="E16" s="258">
        <f t="shared" si="0"/>
        <v>4550859</v>
      </c>
      <c r="F16" s="259">
        <f t="shared" si="1"/>
        <v>2.4267300519115556</v>
      </c>
    </row>
    <row r="17" spans="1:6" ht="20.25" customHeight="1" x14ac:dyDescent="0.3">
      <c r="A17" s="256">
        <v>4</v>
      </c>
      <c r="B17" s="257" t="s">
        <v>444</v>
      </c>
      <c r="C17" s="258">
        <v>486776</v>
      </c>
      <c r="D17" s="258">
        <v>1362614</v>
      </c>
      <c r="E17" s="258">
        <f t="shared" si="0"/>
        <v>875838</v>
      </c>
      <c r="F17" s="259">
        <f t="shared" si="1"/>
        <v>1.7992629053199007</v>
      </c>
    </row>
    <row r="18" spans="1:6" ht="20.25" customHeight="1" x14ac:dyDescent="0.3">
      <c r="A18" s="256">
        <v>5</v>
      </c>
      <c r="B18" s="257" t="s">
        <v>381</v>
      </c>
      <c r="C18" s="260">
        <v>47</v>
      </c>
      <c r="D18" s="260">
        <v>91</v>
      </c>
      <c r="E18" s="260">
        <f t="shared" si="0"/>
        <v>44</v>
      </c>
      <c r="F18" s="259">
        <f t="shared" si="1"/>
        <v>0.93617021276595747</v>
      </c>
    </row>
    <row r="19" spans="1:6" ht="20.25" customHeight="1" x14ac:dyDescent="0.3">
      <c r="A19" s="256">
        <v>6</v>
      </c>
      <c r="B19" s="257" t="s">
        <v>380</v>
      </c>
      <c r="C19" s="260">
        <v>229</v>
      </c>
      <c r="D19" s="260">
        <v>568</v>
      </c>
      <c r="E19" s="260">
        <f t="shared" si="0"/>
        <v>339</v>
      </c>
      <c r="F19" s="259">
        <f t="shared" si="1"/>
        <v>1.4803493449781659</v>
      </c>
    </row>
    <row r="20" spans="1:6" ht="20.25" customHeight="1" x14ac:dyDescent="0.3">
      <c r="A20" s="256">
        <v>7</v>
      </c>
      <c r="B20" s="257" t="s">
        <v>445</v>
      </c>
      <c r="C20" s="260">
        <v>1713</v>
      </c>
      <c r="D20" s="260">
        <v>3929</v>
      </c>
      <c r="E20" s="260">
        <f t="shared" si="0"/>
        <v>2216</v>
      </c>
      <c r="F20" s="259">
        <f t="shared" si="1"/>
        <v>1.2936368943374197</v>
      </c>
    </row>
    <row r="21" spans="1:6" ht="20.25" customHeight="1" x14ac:dyDescent="0.3">
      <c r="A21" s="256">
        <v>8</v>
      </c>
      <c r="B21" s="257" t="s">
        <v>446</v>
      </c>
      <c r="C21" s="260">
        <v>106</v>
      </c>
      <c r="D21" s="260">
        <v>284</v>
      </c>
      <c r="E21" s="260">
        <f t="shared" si="0"/>
        <v>178</v>
      </c>
      <c r="F21" s="259">
        <f t="shared" si="1"/>
        <v>1.679245283018868</v>
      </c>
    </row>
    <row r="22" spans="1:6" ht="20.25" customHeight="1" x14ac:dyDescent="0.3">
      <c r="A22" s="256">
        <v>9</v>
      </c>
      <c r="B22" s="257" t="s">
        <v>447</v>
      </c>
      <c r="C22" s="260">
        <v>26</v>
      </c>
      <c r="D22" s="260">
        <v>64</v>
      </c>
      <c r="E22" s="260">
        <f t="shared" si="0"/>
        <v>38</v>
      </c>
      <c r="F22" s="259">
        <f t="shared" si="1"/>
        <v>1.4615384615384615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3534444</v>
      </c>
      <c r="D23" s="263">
        <f>+D14+D16</f>
        <v>10282519</v>
      </c>
      <c r="E23" s="263">
        <f t="shared" si="0"/>
        <v>6748075</v>
      </c>
      <c r="F23" s="264">
        <f t="shared" si="1"/>
        <v>1.9092323997777303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1206708</v>
      </c>
      <c r="D24" s="263">
        <f>+D15+D17</f>
        <v>2909811</v>
      </c>
      <c r="E24" s="263">
        <f t="shared" si="0"/>
        <v>1703103</v>
      </c>
      <c r="F24" s="264">
        <f t="shared" si="1"/>
        <v>1.4113629809365646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9705883</v>
      </c>
      <c r="D40" s="258">
        <v>9685688</v>
      </c>
      <c r="E40" s="258">
        <f t="shared" ref="E40:E50" si="4">D40-C40</f>
        <v>-20195</v>
      </c>
      <c r="F40" s="259">
        <f t="shared" ref="F40:F50" si="5">IF(C40=0,0,E40/C40)</f>
        <v>-2.0806968309838476E-3</v>
      </c>
    </row>
    <row r="41" spans="1:6" ht="20.25" customHeight="1" x14ac:dyDescent="0.3">
      <c r="A41" s="256">
        <v>2</v>
      </c>
      <c r="B41" s="257" t="s">
        <v>442</v>
      </c>
      <c r="C41" s="258">
        <v>4626404</v>
      </c>
      <c r="D41" s="258">
        <v>4676219</v>
      </c>
      <c r="E41" s="258">
        <f t="shared" si="4"/>
        <v>49815</v>
      </c>
      <c r="F41" s="259">
        <f t="shared" si="5"/>
        <v>1.0767542134236439E-2</v>
      </c>
    </row>
    <row r="42" spans="1:6" ht="20.25" customHeight="1" x14ac:dyDescent="0.3">
      <c r="A42" s="256">
        <v>3</v>
      </c>
      <c r="B42" s="257" t="s">
        <v>443</v>
      </c>
      <c r="C42" s="258">
        <v>11608135</v>
      </c>
      <c r="D42" s="258">
        <v>13430244</v>
      </c>
      <c r="E42" s="258">
        <f t="shared" si="4"/>
        <v>1822109</v>
      </c>
      <c r="F42" s="259">
        <f t="shared" si="5"/>
        <v>0.15696828129583262</v>
      </c>
    </row>
    <row r="43" spans="1:6" ht="20.25" customHeight="1" x14ac:dyDescent="0.3">
      <c r="A43" s="256">
        <v>4</v>
      </c>
      <c r="B43" s="257" t="s">
        <v>444</v>
      </c>
      <c r="C43" s="258">
        <v>3095494</v>
      </c>
      <c r="D43" s="258">
        <v>3099455</v>
      </c>
      <c r="E43" s="258">
        <f t="shared" si="4"/>
        <v>3961</v>
      </c>
      <c r="F43" s="259">
        <f t="shared" si="5"/>
        <v>1.2796018987599395E-3</v>
      </c>
    </row>
    <row r="44" spans="1:6" ht="20.25" customHeight="1" x14ac:dyDescent="0.3">
      <c r="A44" s="256">
        <v>5</v>
      </c>
      <c r="B44" s="257" t="s">
        <v>381</v>
      </c>
      <c r="C44" s="260">
        <v>240</v>
      </c>
      <c r="D44" s="260">
        <v>244</v>
      </c>
      <c r="E44" s="260">
        <f t="shared" si="4"/>
        <v>4</v>
      </c>
      <c r="F44" s="259">
        <f t="shared" si="5"/>
        <v>1.6666666666666666E-2</v>
      </c>
    </row>
    <row r="45" spans="1:6" ht="20.25" customHeight="1" x14ac:dyDescent="0.3">
      <c r="A45" s="256">
        <v>6</v>
      </c>
      <c r="B45" s="257" t="s">
        <v>380</v>
      </c>
      <c r="C45" s="260">
        <v>1034</v>
      </c>
      <c r="D45" s="260">
        <v>966</v>
      </c>
      <c r="E45" s="260">
        <f t="shared" si="4"/>
        <v>-68</v>
      </c>
      <c r="F45" s="259">
        <f t="shared" si="5"/>
        <v>-6.5764023210831718E-2</v>
      </c>
    </row>
    <row r="46" spans="1:6" ht="20.25" customHeight="1" x14ac:dyDescent="0.3">
      <c r="A46" s="256">
        <v>7</v>
      </c>
      <c r="B46" s="257" t="s">
        <v>445</v>
      </c>
      <c r="C46" s="260">
        <v>8456</v>
      </c>
      <c r="D46" s="260">
        <v>8815</v>
      </c>
      <c r="E46" s="260">
        <f t="shared" si="4"/>
        <v>359</v>
      </c>
      <c r="F46" s="259">
        <f t="shared" si="5"/>
        <v>4.2455061494796595E-2</v>
      </c>
    </row>
    <row r="47" spans="1:6" ht="20.25" customHeight="1" x14ac:dyDescent="0.3">
      <c r="A47" s="256">
        <v>8</v>
      </c>
      <c r="B47" s="257" t="s">
        <v>446</v>
      </c>
      <c r="C47" s="260">
        <v>348</v>
      </c>
      <c r="D47" s="260">
        <v>352</v>
      </c>
      <c r="E47" s="260">
        <f t="shared" si="4"/>
        <v>4</v>
      </c>
      <c r="F47" s="259">
        <f t="shared" si="5"/>
        <v>1.1494252873563218E-2</v>
      </c>
    </row>
    <row r="48" spans="1:6" ht="20.25" customHeight="1" x14ac:dyDescent="0.3">
      <c r="A48" s="256">
        <v>9</v>
      </c>
      <c r="B48" s="257" t="s">
        <v>447</v>
      </c>
      <c r="C48" s="260">
        <v>90</v>
      </c>
      <c r="D48" s="260">
        <v>171</v>
      </c>
      <c r="E48" s="260">
        <f t="shared" si="4"/>
        <v>81</v>
      </c>
      <c r="F48" s="259">
        <f t="shared" si="5"/>
        <v>0.9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21314018</v>
      </c>
      <c r="D49" s="263">
        <f>+D40+D42</f>
        <v>23115932</v>
      </c>
      <c r="E49" s="263">
        <f t="shared" si="4"/>
        <v>1801914</v>
      </c>
      <c r="F49" s="264">
        <f t="shared" si="5"/>
        <v>8.454126293784682E-2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7721898</v>
      </c>
      <c r="D50" s="263">
        <f>+D41+D43</f>
        <v>7775674</v>
      </c>
      <c r="E50" s="263">
        <f t="shared" si="4"/>
        <v>53776</v>
      </c>
      <c r="F50" s="264">
        <f t="shared" si="5"/>
        <v>6.9640909527683478E-3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1221247</v>
      </c>
      <c r="D66" s="258">
        <v>1423674</v>
      </c>
      <c r="E66" s="258">
        <f t="shared" ref="E66:E76" si="8">D66-C66</f>
        <v>202427</v>
      </c>
      <c r="F66" s="259">
        <f t="shared" ref="F66:F76" si="9">IF(C66=0,0,E66/C66)</f>
        <v>0.16575434781006626</v>
      </c>
    </row>
    <row r="67" spans="1:6" ht="20.25" customHeight="1" x14ac:dyDescent="0.3">
      <c r="A67" s="256">
        <v>2</v>
      </c>
      <c r="B67" s="257" t="s">
        <v>442</v>
      </c>
      <c r="C67" s="258">
        <v>553734</v>
      </c>
      <c r="D67" s="258">
        <v>530548</v>
      </c>
      <c r="E67" s="258">
        <f t="shared" si="8"/>
        <v>-23186</v>
      </c>
      <c r="F67" s="259">
        <f t="shared" si="9"/>
        <v>-4.1872090209378508E-2</v>
      </c>
    </row>
    <row r="68" spans="1:6" ht="20.25" customHeight="1" x14ac:dyDescent="0.3">
      <c r="A68" s="256">
        <v>3</v>
      </c>
      <c r="B68" s="257" t="s">
        <v>443</v>
      </c>
      <c r="C68" s="258">
        <v>1455600</v>
      </c>
      <c r="D68" s="258">
        <v>1012949</v>
      </c>
      <c r="E68" s="258">
        <f t="shared" si="8"/>
        <v>-442651</v>
      </c>
      <c r="F68" s="259">
        <f t="shared" si="9"/>
        <v>-0.30410208848584774</v>
      </c>
    </row>
    <row r="69" spans="1:6" ht="20.25" customHeight="1" x14ac:dyDescent="0.3">
      <c r="A69" s="256">
        <v>4</v>
      </c>
      <c r="B69" s="257" t="s">
        <v>444</v>
      </c>
      <c r="C69" s="258">
        <v>343583</v>
      </c>
      <c r="D69" s="258">
        <v>204445</v>
      </c>
      <c r="E69" s="258">
        <f t="shared" si="8"/>
        <v>-139138</v>
      </c>
      <c r="F69" s="259">
        <f t="shared" si="9"/>
        <v>-0.40496182872842951</v>
      </c>
    </row>
    <row r="70" spans="1:6" ht="20.25" customHeight="1" x14ac:dyDescent="0.3">
      <c r="A70" s="256">
        <v>5</v>
      </c>
      <c r="B70" s="257" t="s">
        <v>381</v>
      </c>
      <c r="C70" s="260">
        <v>42</v>
      </c>
      <c r="D70" s="260">
        <v>33</v>
      </c>
      <c r="E70" s="260">
        <f t="shared" si="8"/>
        <v>-9</v>
      </c>
      <c r="F70" s="259">
        <f t="shared" si="9"/>
        <v>-0.21428571428571427</v>
      </c>
    </row>
    <row r="71" spans="1:6" ht="20.25" customHeight="1" x14ac:dyDescent="0.3">
      <c r="A71" s="256">
        <v>6</v>
      </c>
      <c r="B71" s="257" t="s">
        <v>380</v>
      </c>
      <c r="C71" s="260">
        <v>177</v>
      </c>
      <c r="D71" s="260">
        <v>128</v>
      </c>
      <c r="E71" s="260">
        <f t="shared" si="8"/>
        <v>-49</v>
      </c>
      <c r="F71" s="259">
        <f t="shared" si="9"/>
        <v>-0.2768361581920904</v>
      </c>
    </row>
    <row r="72" spans="1:6" ht="20.25" customHeight="1" x14ac:dyDescent="0.3">
      <c r="A72" s="256">
        <v>7</v>
      </c>
      <c r="B72" s="257" t="s">
        <v>445</v>
      </c>
      <c r="C72" s="260">
        <v>863</v>
      </c>
      <c r="D72" s="260">
        <v>839</v>
      </c>
      <c r="E72" s="260">
        <f t="shared" si="8"/>
        <v>-24</v>
      </c>
      <c r="F72" s="259">
        <f t="shared" si="9"/>
        <v>-2.7809965237543453E-2</v>
      </c>
    </row>
    <row r="73" spans="1:6" ht="20.25" customHeight="1" x14ac:dyDescent="0.3">
      <c r="A73" s="256">
        <v>8</v>
      </c>
      <c r="B73" s="257" t="s">
        <v>446</v>
      </c>
      <c r="C73" s="260">
        <v>96</v>
      </c>
      <c r="D73" s="260">
        <v>79</v>
      </c>
      <c r="E73" s="260">
        <f t="shared" si="8"/>
        <v>-17</v>
      </c>
      <c r="F73" s="259">
        <f t="shared" si="9"/>
        <v>-0.17708333333333334</v>
      </c>
    </row>
    <row r="74" spans="1:6" ht="20.25" customHeight="1" x14ac:dyDescent="0.3">
      <c r="A74" s="256">
        <v>9</v>
      </c>
      <c r="B74" s="257" t="s">
        <v>447</v>
      </c>
      <c r="C74" s="260">
        <v>8</v>
      </c>
      <c r="D74" s="260">
        <v>21</v>
      </c>
      <c r="E74" s="260">
        <f t="shared" si="8"/>
        <v>13</v>
      </c>
      <c r="F74" s="259">
        <f t="shared" si="9"/>
        <v>1.625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2676847</v>
      </c>
      <c r="D75" s="263">
        <f>+D66+D68</f>
        <v>2436623</v>
      </c>
      <c r="E75" s="263">
        <f t="shared" si="8"/>
        <v>-240224</v>
      </c>
      <c r="F75" s="264">
        <f t="shared" si="9"/>
        <v>-8.9741400984068201E-2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897317</v>
      </c>
      <c r="D76" s="263">
        <f>+D67+D69</f>
        <v>734993</v>
      </c>
      <c r="E76" s="263">
        <f t="shared" si="8"/>
        <v>-162324</v>
      </c>
      <c r="F76" s="264">
        <f t="shared" si="9"/>
        <v>-0.18089928085615228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11396351</v>
      </c>
      <c r="D92" s="258">
        <v>13271323</v>
      </c>
      <c r="E92" s="258">
        <f t="shared" ref="E92:E102" si="12">D92-C92</f>
        <v>1874972</v>
      </c>
      <c r="F92" s="259">
        <f t="shared" ref="F92:F102" si="13">IF(C92=0,0,E92/C92)</f>
        <v>0.16452389014694266</v>
      </c>
    </row>
    <row r="93" spans="1:6" ht="20.25" customHeight="1" x14ac:dyDescent="0.3">
      <c r="A93" s="256">
        <v>2</v>
      </c>
      <c r="B93" s="257" t="s">
        <v>442</v>
      </c>
      <c r="C93" s="258">
        <v>4772923</v>
      </c>
      <c r="D93" s="258">
        <v>4940324</v>
      </c>
      <c r="E93" s="258">
        <f t="shared" si="12"/>
        <v>167401</v>
      </c>
      <c r="F93" s="259">
        <f t="shared" si="13"/>
        <v>3.5073056908732865E-2</v>
      </c>
    </row>
    <row r="94" spans="1:6" ht="20.25" customHeight="1" x14ac:dyDescent="0.3">
      <c r="A94" s="256">
        <v>3</v>
      </c>
      <c r="B94" s="257" t="s">
        <v>443</v>
      </c>
      <c r="C94" s="258">
        <v>12558132</v>
      </c>
      <c r="D94" s="258">
        <v>15403747</v>
      </c>
      <c r="E94" s="258">
        <f t="shared" si="12"/>
        <v>2845615</v>
      </c>
      <c r="F94" s="259">
        <f t="shared" si="13"/>
        <v>0.22659540447576121</v>
      </c>
    </row>
    <row r="95" spans="1:6" ht="20.25" customHeight="1" x14ac:dyDescent="0.3">
      <c r="A95" s="256">
        <v>4</v>
      </c>
      <c r="B95" s="257" t="s">
        <v>444</v>
      </c>
      <c r="C95" s="258">
        <v>3113570</v>
      </c>
      <c r="D95" s="258">
        <v>3173998</v>
      </c>
      <c r="E95" s="258">
        <f t="shared" si="12"/>
        <v>60428</v>
      </c>
      <c r="F95" s="259">
        <f t="shared" si="13"/>
        <v>1.9407946505137191E-2</v>
      </c>
    </row>
    <row r="96" spans="1:6" ht="20.25" customHeight="1" x14ac:dyDescent="0.3">
      <c r="A96" s="256">
        <v>5</v>
      </c>
      <c r="B96" s="257" t="s">
        <v>381</v>
      </c>
      <c r="C96" s="260">
        <v>292</v>
      </c>
      <c r="D96" s="260">
        <v>286</v>
      </c>
      <c r="E96" s="260">
        <f t="shared" si="12"/>
        <v>-6</v>
      </c>
      <c r="F96" s="259">
        <f t="shared" si="13"/>
        <v>-2.0547945205479451E-2</v>
      </c>
    </row>
    <row r="97" spans="1:6" ht="20.25" customHeight="1" x14ac:dyDescent="0.3">
      <c r="A97" s="256">
        <v>6</v>
      </c>
      <c r="B97" s="257" t="s">
        <v>380</v>
      </c>
      <c r="C97" s="260">
        <v>1355</v>
      </c>
      <c r="D97" s="260">
        <v>1250</v>
      </c>
      <c r="E97" s="260">
        <f t="shared" si="12"/>
        <v>-105</v>
      </c>
      <c r="F97" s="259">
        <f t="shared" si="13"/>
        <v>-7.7490774907749083E-2</v>
      </c>
    </row>
    <row r="98" spans="1:6" ht="20.25" customHeight="1" x14ac:dyDescent="0.3">
      <c r="A98" s="256">
        <v>7</v>
      </c>
      <c r="B98" s="257" t="s">
        <v>445</v>
      </c>
      <c r="C98" s="260">
        <v>8450</v>
      </c>
      <c r="D98" s="260">
        <v>9787</v>
      </c>
      <c r="E98" s="260">
        <f t="shared" si="12"/>
        <v>1337</v>
      </c>
      <c r="F98" s="259">
        <f t="shared" si="13"/>
        <v>0.15822485207100592</v>
      </c>
    </row>
    <row r="99" spans="1:6" ht="20.25" customHeight="1" x14ac:dyDescent="0.3">
      <c r="A99" s="256">
        <v>8</v>
      </c>
      <c r="B99" s="257" t="s">
        <v>446</v>
      </c>
      <c r="C99" s="260">
        <v>516</v>
      </c>
      <c r="D99" s="260">
        <v>558</v>
      </c>
      <c r="E99" s="260">
        <f t="shared" si="12"/>
        <v>42</v>
      </c>
      <c r="F99" s="259">
        <f t="shared" si="13"/>
        <v>8.1395348837209308E-2</v>
      </c>
    </row>
    <row r="100" spans="1:6" ht="20.25" customHeight="1" x14ac:dyDescent="0.3">
      <c r="A100" s="256">
        <v>9</v>
      </c>
      <c r="B100" s="257" t="s">
        <v>447</v>
      </c>
      <c r="C100" s="260">
        <v>90</v>
      </c>
      <c r="D100" s="260">
        <v>203</v>
      </c>
      <c r="E100" s="260">
        <f t="shared" si="12"/>
        <v>113</v>
      </c>
      <c r="F100" s="259">
        <f t="shared" si="13"/>
        <v>1.2555555555555555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23954483</v>
      </c>
      <c r="D101" s="263">
        <f>+D92+D94</f>
        <v>28675070</v>
      </c>
      <c r="E101" s="263">
        <f t="shared" si="12"/>
        <v>4720587</v>
      </c>
      <c r="F101" s="264">
        <f t="shared" si="13"/>
        <v>0.19706486673079107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7886493</v>
      </c>
      <c r="D102" s="263">
        <f>+D93+D95</f>
        <v>8114322</v>
      </c>
      <c r="E102" s="263">
        <f t="shared" si="12"/>
        <v>227829</v>
      </c>
      <c r="F102" s="264">
        <f t="shared" si="13"/>
        <v>2.8888505955689051E-2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984891</v>
      </c>
      <c r="D105" s="258">
        <v>1475331</v>
      </c>
      <c r="E105" s="258">
        <f t="shared" ref="E105:E115" si="14">D105-C105</f>
        <v>490440</v>
      </c>
      <c r="F105" s="259">
        <f t="shared" ref="F105:F115" si="15">IF(C105=0,0,E105/C105)</f>
        <v>0.49796373405788052</v>
      </c>
    </row>
    <row r="106" spans="1:6" ht="20.25" customHeight="1" x14ac:dyDescent="0.3">
      <c r="A106" s="256">
        <v>2</v>
      </c>
      <c r="B106" s="257" t="s">
        <v>442</v>
      </c>
      <c r="C106" s="258">
        <v>469983</v>
      </c>
      <c r="D106" s="258">
        <v>434205</v>
      </c>
      <c r="E106" s="258">
        <f t="shared" si="14"/>
        <v>-35778</v>
      </c>
      <c r="F106" s="259">
        <f t="shared" si="15"/>
        <v>-7.6126157754642196E-2</v>
      </c>
    </row>
    <row r="107" spans="1:6" ht="20.25" customHeight="1" x14ac:dyDescent="0.3">
      <c r="A107" s="256">
        <v>3</v>
      </c>
      <c r="B107" s="257" t="s">
        <v>443</v>
      </c>
      <c r="C107" s="258">
        <v>276690</v>
      </c>
      <c r="D107" s="258">
        <v>197831</v>
      </c>
      <c r="E107" s="258">
        <f t="shared" si="14"/>
        <v>-78859</v>
      </c>
      <c r="F107" s="259">
        <f t="shared" si="15"/>
        <v>-0.28500849325960459</v>
      </c>
    </row>
    <row r="108" spans="1:6" ht="20.25" customHeight="1" x14ac:dyDescent="0.3">
      <c r="A108" s="256">
        <v>4</v>
      </c>
      <c r="B108" s="257" t="s">
        <v>444</v>
      </c>
      <c r="C108" s="258">
        <v>75360</v>
      </c>
      <c r="D108" s="258">
        <v>48692</v>
      </c>
      <c r="E108" s="258">
        <f t="shared" si="14"/>
        <v>-26668</v>
      </c>
      <c r="F108" s="259">
        <f t="shared" si="15"/>
        <v>-0.35387473460721869</v>
      </c>
    </row>
    <row r="109" spans="1:6" ht="20.25" customHeight="1" x14ac:dyDescent="0.3">
      <c r="A109" s="256">
        <v>5</v>
      </c>
      <c r="B109" s="257" t="s">
        <v>381</v>
      </c>
      <c r="C109" s="260">
        <v>36</v>
      </c>
      <c r="D109" s="260">
        <v>18</v>
      </c>
      <c r="E109" s="260">
        <f t="shared" si="14"/>
        <v>-18</v>
      </c>
      <c r="F109" s="259">
        <f t="shared" si="15"/>
        <v>-0.5</v>
      </c>
    </row>
    <row r="110" spans="1:6" ht="20.25" customHeight="1" x14ac:dyDescent="0.3">
      <c r="A110" s="256">
        <v>6</v>
      </c>
      <c r="B110" s="257" t="s">
        <v>380</v>
      </c>
      <c r="C110" s="260">
        <v>175</v>
      </c>
      <c r="D110" s="260">
        <v>150</v>
      </c>
      <c r="E110" s="260">
        <f t="shared" si="14"/>
        <v>-25</v>
      </c>
      <c r="F110" s="259">
        <f t="shared" si="15"/>
        <v>-0.14285714285714285</v>
      </c>
    </row>
    <row r="111" spans="1:6" ht="20.25" customHeight="1" x14ac:dyDescent="0.3">
      <c r="A111" s="256">
        <v>7</v>
      </c>
      <c r="B111" s="257" t="s">
        <v>445</v>
      </c>
      <c r="C111" s="260">
        <v>98</v>
      </c>
      <c r="D111" s="260">
        <v>65</v>
      </c>
      <c r="E111" s="260">
        <f t="shared" si="14"/>
        <v>-33</v>
      </c>
      <c r="F111" s="259">
        <f t="shared" si="15"/>
        <v>-0.33673469387755101</v>
      </c>
    </row>
    <row r="112" spans="1:6" ht="20.25" customHeight="1" x14ac:dyDescent="0.3">
      <c r="A112" s="256">
        <v>8</v>
      </c>
      <c r="B112" s="257" t="s">
        <v>446</v>
      </c>
      <c r="C112" s="260">
        <v>86</v>
      </c>
      <c r="D112" s="260">
        <v>69</v>
      </c>
      <c r="E112" s="260">
        <f t="shared" si="14"/>
        <v>-17</v>
      </c>
      <c r="F112" s="259">
        <f t="shared" si="15"/>
        <v>-0.19767441860465115</v>
      </c>
    </row>
    <row r="113" spans="1:6" ht="20.25" customHeight="1" x14ac:dyDescent="0.3">
      <c r="A113" s="256">
        <v>9</v>
      </c>
      <c r="B113" s="257" t="s">
        <v>447</v>
      </c>
      <c r="C113" s="260">
        <v>5</v>
      </c>
      <c r="D113" s="260">
        <v>17</v>
      </c>
      <c r="E113" s="260">
        <f t="shared" si="14"/>
        <v>12</v>
      </c>
      <c r="F113" s="259">
        <f t="shared" si="15"/>
        <v>2.4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1261581</v>
      </c>
      <c r="D114" s="263">
        <f>+D105+D107</f>
        <v>1673162</v>
      </c>
      <c r="E114" s="263">
        <f t="shared" si="14"/>
        <v>411581</v>
      </c>
      <c r="F114" s="264">
        <f t="shared" si="15"/>
        <v>0.32624223097843102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545343</v>
      </c>
      <c r="D115" s="263">
        <f>+D106+D108</f>
        <v>482897</v>
      </c>
      <c r="E115" s="263">
        <f t="shared" si="14"/>
        <v>-62446</v>
      </c>
      <c r="F115" s="264">
        <f t="shared" si="15"/>
        <v>-0.11450775016824274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5556082</v>
      </c>
      <c r="D118" s="258">
        <v>7308459</v>
      </c>
      <c r="E118" s="258">
        <f t="shared" ref="E118:E128" si="16">D118-C118</f>
        <v>1752377</v>
      </c>
      <c r="F118" s="259">
        <f t="shared" ref="F118:F128" si="17">IF(C118=0,0,E118/C118)</f>
        <v>0.31539797288808913</v>
      </c>
    </row>
    <row r="119" spans="1:6" ht="20.25" customHeight="1" x14ac:dyDescent="0.3">
      <c r="A119" s="256">
        <v>2</v>
      </c>
      <c r="B119" s="257" t="s">
        <v>442</v>
      </c>
      <c r="C119" s="258">
        <v>2501433</v>
      </c>
      <c r="D119" s="258">
        <v>3108958</v>
      </c>
      <c r="E119" s="258">
        <f t="shared" si="16"/>
        <v>607525</v>
      </c>
      <c r="F119" s="259">
        <f t="shared" si="17"/>
        <v>0.24287078646519814</v>
      </c>
    </row>
    <row r="120" spans="1:6" ht="20.25" customHeight="1" x14ac:dyDescent="0.3">
      <c r="A120" s="256">
        <v>3</v>
      </c>
      <c r="B120" s="257" t="s">
        <v>443</v>
      </c>
      <c r="C120" s="258">
        <v>7135771</v>
      </c>
      <c r="D120" s="258">
        <v>9142369</v>
      </c>
      <c r="E120" s="258">
        <f t="shared" si="16"/>
        <v>2006598</v>
      </c>
      <c r="F120" s="259">
        <f t="shared" si="17"/>
        <v>0.28120268994058245</v>
      </c>
    </row>
    <row r="121" spans="1:6" ht="20.25" customHeight="1" x14ac:dyDescent="0.3">
      <c r="A121" s="256">
        <v>4</v>
      </c>
      <c r="B121" s="257" t="s">
        <v>444</v>
      </c>
      <c r="C121" s="258">
        <v>1863430</v>
      </c>
      <c r="D121" s="258">
        <v>2162882</v>
      </c>
      <c r="E121" s="258">
        <f t="shared" si="16"/>
        <v>299452</v>
      </c>
      <c r="F121" s="259">
        <f t="shared" si="17"/>
        <v>0.16069935548960787</v>
      </c>
    </row>
    <row r="122" spans="1:6" ht="20.25" customHeight="1" x14ac:dyDescent="0.3">
      <c r="A122" s="256">
        <v>5</v>
      </c>
      <c r="B122" s="257" t="s">
        <v>381</v>
      </c>
      <c r="C122" s="260">
        <v>149</v>
      </c>
      <c r="D122" s="260">
        <v>159</v>
      </c>
      <c r="E122" s="260">
        <f t="shared" si="16"/>
        <v>10</v>
      </c>
      <c r="F122" s="259">
        <f t="shared" si="17"/>
        <v>6.7114093959731544E-2</v>
      </c>
    </row>
    <row r="123" spans="1:6" ht="20.25" customHeight="1" x14ac:dyDescent="0.3">
      <c r="A123" s="256">
        <v>6</v>
      </c>
      <c r="B123" s="257" t="s">
        <v>380</v>
      </c>
      <c r="C123" s="260">
        <v>715</v>
      </c>
      <c r="D123" s="260">
        <v>806</v>
      </c>
      <c r="E123" s="260">
        <f t="shared" si="16"/>
        <v>91</v>
      </c>
      <c r="F123" s="259">
        <f t="shared" si="17"/>
        <v>0.12727272727272726</v>
      </c>
    </row>
    <row r="124" spans="1:6" ht="20.25" customHeight="1" x14ac:dyDescent="0.3">
      <c r="A124" s="256">
        <v>7</v>
      </c>
      <c r="B124" s="257" t="s">
        <v>445</v>
      </c>
      <c r="C124" s="260">
        <v>5478</v>
      </c>
      <c r="D124" s="260">
        <v>5809</v>
      </c>
      <c r="E124" s="260">
        <f t="shared" si="16"/>
        <v>331</v>
      </c>
      <c r="F124" s="259">
        <f t="shared" si="17"/>
        <v>6.0423512230741147E-2</v>
      </c>
    </row>
    <row r="125" spans="1:6" ht="20.25" customHeight="1" x14ac:dyDescent="0.3">
      <c r="A125" s="256">
        <v>8</v>
      </c>
      <c r="B125" s="257" t="s">
        <v>446</v>
      </c>
      <c r="C125" s="260">
        <v>292</v>
      </c>
      <c r="D125" s="260">
        <v>310</v>
      </c>
      <c r="E125" s="260">
        <f t="shared" si="16"/>
        <v>18</v>
      </c>
      <c r="F125" s="259">
        <f t="shared" si="17"/>
        <v>6.1643835616438353E-2</v>
      </c>
    </row>
    <row r="126" spans="1:6" ht="20.25" customHeight="1" x14ac:dyDescent="0.3">
      <c r="A126" s="256">
        <v>9</v>
      </c>
      <c r="B126" s="257" t="s">
        <v>447</v>
      </c>
      <c r="C126" s="260">
        <v>56</v>
      </c>
      <c r="D126" s="260">
        <v>117</v>
      </c>
      <c r="E126" s="260">
        <f t="shared" si="16"/>
        <v>61</v>
      </c>
      <c r="F126" s="259">
        <f t="shared" si="17"/>
        <v>1.0892857142857142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12691853</v>
      </c>
      <c r="D127" s="263">
        <f>+D118+D120</f>
        <v>16450828</v>
      </c>
      <c r="E127" s="263">
        <f t="shared" si="16"/>
        <v>3758975</v>
      </c>
      <c r="F127" s="264">
        <f t="shared" si="17"/>
        <v>0.29617227681411057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4364863</v>
      </c>
      <c r="D128" s="263">
        <f>+D119+D121</f>
        <v>5271840</v>
      </c>
      <c r="E128" s="263">
        <f t="shared" si="16"/>
        <v>906977</v>
      </c>
      <c r="F128" s="264">
        <f t="shared" si="17"/>
        <v>0.20779048506218867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43053</v>
      </c>
      <c r="D131" s="258">
        <v>169246</v>
      </c>
      <c r="E131" s="258">
        <f t="shared" ref="E131:E141" si="18">D131-C131</f>
        <v>126193</v>
      </c>
      <c r="F131" s="259">
        <f t="shared" ref="F131:F141" si="19">IF(C131=0,0,E131/C131)</f>
        <v>2.9311081690009986</v>
      </c>
    </row>
    <row r="132" spans="1:6" ht="20.25" customHeight="1" x14ac:dyDescent="0.3">
      <c r="A132" s="256">
        <v>2</v>
      </c>
      <c r="B132" s="257" t="s">
        <v>442</v>
      </c>
      <c r="C132" s="258">
        <v>28313</v>
      </c>
      <c r="D132" s="258">
        <v>81169</v>
      </c>
      <c r="E132" s="258">
        <f t="shared" si="18"/>
        <v>52856</v>
      </c>
      <c r="F132" s="259">
        <f t="shared" si="19"/>
        <v>1.8668456186204216</v>
      </c>
    </row>
    <row r="133" spans="1:6" ht="20.25" customHeight="1" x14ac:dyDescent="0.3">
      <c r="A133" s="256">
        <v>3</v>
      </c>
      <c r="B133" s="257" t="s">
        <v>443</v>
      </c>
      <c r="C133" s="258">
        <v>39659</v>
      </c>
      <c r="D133" s="258">
        <v>48448</v>
      </c>
      <c r="E133" s="258">
        <f t="shared" si="18"/>
        <v>8789</v>
      </c>
      <c r="F133" s="259">
        <f t="shared" si="19"/>
        <v>0.22161426157996925</v>
      </c>
    </row>
    <row r="134" spans="1:6" ht="20.25" customHeight="1" x14ac:dyDescent="0.3">
      <c r="A134" s="256">
        <v>4</v>
      </c>
      <c r="B134" s="257" t="s">
        <v>444</v>
      </c>
      <c r="C134" s="258">
        <v>12487</v>
      </c>
      <c r="D134" s="258">
        <v>14798</v>
      </c>
      <c r="E134" s="258">
        <f t="shared" si="18"/>
        <v>2311</v>
      </c>
      <c r="F134" s="259">
        <f t="shared" si="19"/>
        <v>0.18507247537438937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7</v>
      </c>
      <c r="E135" s="260">
        <f t="shared" si="18"/>
        <v>6</v>
      </c>
      <c r="F135" s="259">
        <f t="shared" si="19"/>
        <v>6</v>
      </c>
    </row>
    <row r="136" spans="1:6" ht="20.25" customHeight="1" x14ac:dyDescent="0.3">
      <c r="A136" s="256">
        <v>6</v>
      </c>
      <c r="B136" s="257" t="s">
        <v>380</v>
      </c>
      <c r="C136" s="260">
        <v>2</v>
      </c>
      <c r="D136" s="260">
        <v>24</v>
      </c>
      <c r="E136" s="260">
        <f t="shared" si="18"/>
        <v>22</v>
      </c>
      <c r="F136" s="259">
        <f t="shared" si="19"/>
        <v>11</v>
      </c>
    </row>
    <row r="137" spans="1:6" ht="20.25" customHeight="1" x14ac:dyDescent="0.3">
      <c r="A137" s="256">
        <v>7</v>
      </c>
      <c r="B137" s="257" t="s">
        <v>445</v>
      </c>
      <c r="C137" s="260">
        <v>32</v>
      </c>
      <c r="D137" s="260">
        <v>42</v>
      </c>
      <c r="E137" s="260">
        <f t="shared" si="18"/>
        <v>10</v>
      </c>
      <c r="F137" s="259">
        <f t="shared" si="19"/>
        <v>0.3125</v>
      </c>
    </row>
    <row r="138" spans="1:6" ht="20.25" customHeight="1" x14ac:dyDescent="0.3">
      <c r="A138" s="256">
        <v>8</v>
      </c>
      <c r="B138" s="257" t="s">
        <v>446</v>
      </c>
      <c r="C138" s="260">
        <v>5</v>
      </c>
      <c r="D138" s="260">
        <v>7</v>
      </c>
      <c r="E138" s="260">
        <f t="shared" si="18"/>
        <v>2</v>
      </c>
      <c r="F138" s="259">
        <f t="shared" si="19"/>
        <v>0.4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7</v>
      </c>
      <c r="E139" s="260">
        <f t="shared" si="18"/>
        <v>5</v>
      </c>
      <c r="F139" s="259">
        <f t="shared" si="19"/>
        <v>2.5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82712</v>
      </c>
      <c r="D140" s="263">
        <f>+D131+D133</f>
        <v>217694</v>
      </c>
      <c r="E140" s="263">
        <f t="shared" si="18"/>
        <v>134982</v>
      </c>
      <c r="F140" s="264">
        <f t="shared" si="19"/>
        <v>1.6319518328658478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40800</v>
      </c>
      <c r="D141" s="263">
        <f>+D132+D134</f>
        <v>95967</v>
      </c>
      <c r="E141" s="263">
        <f t="shared" si="18"/>
        <v>55167</v>
      </c>
      <c r="F141" s="264">
        <f t="shared" si="19"/>
        <v>1.3521323529411764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493365</v>
      </c>
      <c r="D183" s="258">
        <v>1066394</v>
      </c>
      <c r="E183" s="258">
        <f t="shared" ref="E183:E193" si="26">D183-C183</f>
        <v>573029</v>
      </c>
      <c r="F183" s="259">
        <f t="shared" ref="F183:F193" si="27">IF(C183=0,0,E183/C183)</f>
        <v>1.1614707164067171</v>
      </c>
    </row>
    <row r="184" spans="1:6" ht="20.25" customHeight="1" x14ac:dyDescent="0.3">
      <c r="A184" s="256">
        <v>2</v>
      </c>
      <c r="B184" s="257" t="s">
        <v>442</v>
      </c>
      <c r="C184" s="258">
        <v>186275</v>
      </c>
      <c r="D184" s="258">
        <v>399954</v>
      </c>
      <c r="E184" s="258">
        <f t="shared" si="26"/>
        <v>213679</v>
      </c>
      <c r="F184" s="259">
        <f t="shared" si="27"/>
        <v>1.1471158233794121</v>
      </c>
    </row>
    <row r="185" spans="1:6" ht="20.25" customHeight="1" x14ac:dyDescent="0.3">
      <c r="A185" s="256">
        <v>3</v>
      </c>
      <c r="B185" s="257" t="s">
        <v>443</v>
      </c>
      <c r="C185" s="258">
        <v>199938</v>
      </c>
      <c r="D185" s="258">
        <v>442238</v>
      </c>
      <c r="E185" s="258">
        <f t="shared" si="26"/>
        <v>242300</v>
      </c>
      <c r="F185" s="259">
        <f t="shared" si="27"/>
        <v>1.211875681461253</v>
      </c>
    </row>
    <row r="186" spans="1:6" ht="20.25" customHeight="1" x14ac:dyDescent="0.3">
      <c r="A186" s="256">
        <v>4</v>
      </c>
      <c r="B186" s="257" t="s">
        <v>444</v>
      </c>
      <c r="C186" s="258">
        <v>45550</v>
      </c>
      <c r="D186" s="258">
        <v>97160</v>
      </c>
      <c r="E186" s="258">
        <f t="shared" si="26"/>
        <v>51610</v>
      </c>
      <c r="F186" s="259">
        <f t="shared" si="27"/>
        <v>1.1330406147091108</v>
      </c>
    </row>
    <row r="187" spans="1:6" ht="20.25" customHeight="1" x14ac:dyDescent="0.3">
      <c r="A187" s="256">
        <v>5</v>
      </c>
      <c r="B187" s="257" t="s">
        <v>381</v>
      </c>
      <c r="C187" s="260">
        <v>12</v>
      </c>
      <c r="D187" s="260">
        <v>24</v>
      </c>
      <c r="E187" s="260">
        <f t="shared" si="26"/>
        <v>12</v>
      </c>
      <c r="F187" s="259">
        <f t="shared" si="27"/>
        <v>1</v>
      </c>
    </row>
    <row r="188" spans="1:6" ht="20.25" customHeight="1" x14ac:dyDescent="0.3">
      <c r="A188" s="256">
        <v>6</v>
      </c>
      <c r="B188" s="257" t="s">
        <v>380</v>
      </c>
      <c r="C188" s="260">
        <v>60</v>
      </c>
      <c r="D188" s="260">
        <v>148</v>
      </c>
      <c r="E188" s="260">
        <f t="shared" si="26"/>
        <v>88</v>
      </c>
      <c r="F188" s="259">
        <f t="shared" si="27"/>
        <v>1.4666666666666666</v>
      </c>
    </row>
    <row r="189" spans="1:6" ht="20.25" customHeight="1" x14ac:dyDescent="0.3">
      <c r="A189" s="256">
        <v>7</v>
      </c>
      <c r="B189" s="257" t="s">
        <v>445</v>
      </c>
      <c r="C189" s="260">
        <v>157</v>
      </c>
      <c r="D189" s="260">
        <v>311</v>
      </c>
      <c r="E189" s="260">
        <f t="shared" si="26"/>
        <v>154</v>
      </c>
      <c r="F189" s="259">
        <f t="shared" si="27"/>
        <v>0.98089171974522293</v>
      </c>
    </row>
    <row r="190" spans="1:6" ht="20.25" customHeight="1" x14ac:dyDescent="0.3">
      <c r="A190" s="256">
        <v>8</v>
      </c>
      <c r="B190" s="257" t="s">
        <v>446</v>
      </c>
      <c r="C190" s="260">
        <v>9</v>
      </c>
      <c r="D190" s="260">
        <v>19</v>
      </c>
      <c r="E190" s="260">
        <f t="shared" si="26"/>
        <v>10</v>
      </c>
      <c r="F190" s="259">
        <f t="shared" si="27"/>
        <v>1.1111111111111112</v>
      </c>
    </row>
    <row r="191" spans="1:6" ht="20.25" customHeight="1" x14ac:dyDescent="0.3">
      <c r="A191" s="256">
        <v>9</v>
      </c>
      <c r="B191" s="257" t="s">
        <v>447</v>
      </c>
      <c r="C191" s="260">
        <v>10</v>
      </c>
      <c r="D191" s="260">
        <v>18</v>
      </c>
      <c r="E191" s="260">
        <f t="shared" si="26"/>
        <v>8</v>
      </c>
      <c r="F191" s="259">
        <f t="shared" si="27"/>
        <v>0.8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693303</v>
      </c>
      <c r="D192" s="263">
        <f>+D183+D185</f>
        <v>1508632</v>
      </c>
      <c r="E192" s="263">
        <f t="shared" si="26"/>
        <v>815329</v>
      </c>
      <c r="F192" s="264">
        <f t="shared" si="27"/>
        <v>1.1760067387563591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231825</v>
      </c>
      <c r="D193" s="263">
        <f>+D184+D186</f>
        <v>497114</v>
      </c>
      <c r="E193" s="263">
        <f t="shared" si="26"/>
        <v>265289</v>
      </c>
      <c r="F193" s="264">
        <f t="shared" si="27"/>
        <v>1.1443502642079155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31060011</v>
      </c>
      <c r="D198" s="263">
        <f t="shared" si="28"/>
        <v>38256470</v>
      </c>
      <c r="E198" s="263">
        <f t="shared" ref="E198:E208" si="29">D198-C198</f>
        <v>7196459</v>
      </c>
      <c r="F198" s="273">
        <f t="shared" ref="F198:F208" si="30">IF(C198=0,0,E198/C198)</f>
        <v>0.23169531395207812</v>
      </c>
    </row>
    <row r="199" spans="1:9" ht="20.25" customHeight="1" x14ac:dyDescent="0.3">
      <c r="A199" s="271"/>
      <c r="B199" s="272" t="s">
        <v>466</v>
      </c>
      <c r="C199" s="263">
        <f t="shared" si="28"/>
        <v>13858997</v>
      </c>
      <c r="D199" s="263">
        <f t="shared" si="28"/>
        <v>15718574</v>
      </c>
      <c r="E199" s="263">
        <f t="shared" si="29"/>
        <v>1859577</v>
      </c>
      <c r="F199" s="273">
        <f t="shared" si="30"/>
        <v>0.13417832473735292</v>
      </c>
    </row>
    <row r="200" spans="1:9" ht="20.25" customHeight="1" x14ac:dyDescent="0.3">
      <c r="A200" s="271"/>
      <c r="B200" s="272" t="s">
        <v>467</v>
      </c>
      <c r="C200" s="263">
        <f t="shared" si="28"/>
        <v>35149230</v>
      </c>
      <c r="D200" s="263">
        <f t="shared" si="28"/>
        <v>46103990</v>
      </c>
      <c r="E200" s="263">
        <f t="shared" si="29"/>
        <v>10954760</v>
      </c>
      <c r="F200" s="273">
        <f t="shared" si="30"/>
        <v>0.31166429534871748</v>
      </c>
    </row>
    <row r="201" spans="1:9" ht="20.25" customHeight="1" x14ac:dyDescent="0.3">
      <c r="A201" s="271"/>
      <c r="B201" s="272" t="s">
        <v>468</v>
      </c>
      <c r="C201" s="263">
        <f t="shared" si="28"/>
        <v>9036250</v>
      </c>
      <c r="D201" s="263">
        <f t="shared" si="28"/>
        <v>10164044</v>
      </c>
      <c r="E201" s="263">
        <f t="shared" si="29"/>
        <v>1127794</v>
      </c>
      <c r="F201" s="273">
        <f t="shared" si="30"/>
        <v>0.12480774657628994</v>
      </c>
    </row>
    <row r="202" spans="1:9" ht="20.25" customHeight="1" x14ac:dyDescent="0.3">
      <c r="A202" s="271"/>
      <c r="B202" s="272" t="s">
        <v>138</v>
      </c>
      <c r="C202" s="274">
        <f t="shared" si="28"/>
        <v>819</v>
      </c>
      <c r="D202" s="274">
        <f t="shared" si="28"/>
        <v>862</v>
      </c>
      <c r="E202" s="274">
        <f t="shared" si="29"/>
        <v>43</v>
      </c>
      <c r="F202" s="273">
        <f t="shared" si="30"/>
        <v>5.2503052503052504E-2</v>
      </c>
    </row>
    <row r="203" spans="1:9" ht="20.25" customHeight="1" x14ac:dyDescent="0.3">
      <c r="A203" s="271"/>
      <c r="B203" s="272" t="s">
        <v>140</v>
      </c>
      <c r="C203" s="274">
        <f t="shared" si="28"/>
        <v>3747</v>
      </c>
      <c r="D203" s="274">
        <f t="shared" si="28"/>
        <v>4040</v>
      </c>
      <c r="E203" s="274">
        <f t="shared" si="29"/>
        <v>293</v>
      </c>
      <c r="F203" s="273">
        <f t="shared" si="30"/>
        <v>7.8195890045369629E-2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25247</v>
      </c>
      <c r="D204" s="274">
        <f t="shared" si="28"/>
        <v>29597</v>
      </c>
      <c r="E204" s="274">
        <f t="shared" si="29"/>
        <v>4350</v>
      </c>
      <c r="F204" s="273">
        <f t="shared" si="30"/>
        <v>0.17229769873648354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1458</v>
      </c>
      <c r="D205" s="274">
        <f t="shared" si="28"/>
        <v>1678</v>
      </c>
      <c r="E205" s="274">
        <f t="shared" si="29"/>
        <v>220</v>
      </c>
      <c r="F205" s="273">
        <f t="shared" si="30"/>
        <v>0.15089163237311384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287</v>
      </c>
      <c r="D206" s="274">
        <f t="shared" si="28"/>
        <v>618</v>
      </c>
      <c r="E206" s="274">
        <f t="shared" si="29"/>
        <v>331</v>
      </c>
      <c r="F206" s="273">
        <f t="shared" si="30"/>
        <v>1.1533101045296168</v>
      </c>
    </row>
    <row r="207" spans="1:9" ht="20.25" customHeight="1" x14ac:dyDescent="0.3">
      <c r="A207" s="271"/>
      <c r="B207" s="262" t="s">
        <v>471</v>
      </c>
      <c r="C207" s="263">
        <f>+C198+C200</f>
        <v>66209241</v>
      </c>
      <c r="D207" s="263">
        <f>+D198+D200</f>
        <v>84360460</v>
      </c>
      <c r="E207" s="263">
        <f t="shared" si="29"/>
        <v>18151219</v>
      </c>
      <c r="F207" s="273">
        <f t="shared" si="30"/>
        <v>0.27414932909440842</v>
      </c>
    </row>
    <row r="208" spans="1:9" ht="20.25" customHeight="1" x14ac:dyDescent="0.3">
      <c r="A208" s="271"/>
      <c r="B208" s="262" t="s">
        <v>472</v>
      </c>
      <c r="C208" s="263">
        <f>+C199+C201</f>
        <v>22895247</v>
      </c>
      <c r="D208" s="263">
        <f>+D199+D201</f>
        <v>25882618</v>
      </c>
      <c r="E208" s="263">
        <f t="shared" si="29"/>
        <v>2987371</v>
      </c>
      <c r="F208" s="273">
        <f t="shared" si="30"/>
        <v>0.13047996381082938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38" sqref="B38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activeCell="B38" sqref="B38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92247000</v>
      </c>
      <c r="D13" s="22">
        <v>99565000</v>
      </c>
      <c r="E13" s="22">
        <f t="shared" ref="E13:E22" si="0">D13-C13</f>
        <v>7318000</v>
      </c>
      <c r="F13" s="306">
        <f t="shared" ref="F13:F22" si="1">IF(C13=0,0,E13/C13)</f>
        <v>7.9330493132568E-2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48472000</v>
      </c>
      <c r="D15" s="22">
        <v>50591000</v>
      </c>
      <c r="E15" s="22">
        <f t="shared" si="0"/>
        <v>2119000</v>
      </c>
      <c r="F15" s="306">
        <f t="shared" si="1"/>
        <v>4.371595972932827E-2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80294000</v>
      </c>
      <c r="D17" s="22">
        <v>88132000</v>
      </c>
      <c r="E17" s="22">
        <f t="shared" si="0"/>
        <v>7838000</v>
      </c>
      <c r="F17" s="306">
        <f t="shared" si="1"/>
        <v>9.7616260243604758E-2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9673000</v>
      </c>
      <c r="D19" s="22">
        <v>11732000</v>
      </c>
      <c r="E19" s="22">
        <f t="shared" si="0"/>
        <v>2059000</v>
      </c>
      <c r="F19" s="306">
        <f t="shared" si="1"/>
        <v>0.21286053964643853</v>
      </c>
    </row>
    <row r="20" spans="1:11" ht="24" customHeight="1" x14ac:dyDescent="0.2">
      <c r="A20" s="304">
        <v>8</v>
      </c>
      <c r="B20" s="305" t="s">
        <v>23</v>
      </c>
      <c r="C20" s="22">
        <v>6764000</v>
      </c>
      <c r="D20" s="22">
        <v>8504000</v>
      </c>
      <c r="E20" s="22">
        <f t="shared" si="0"/>
        <v>1740000</v>
      </c>
      <c r="F20" s="306">
        <f t="shared" si="1"/>
        <v>0.25724423418095799</v>
      </c>
    </row>
    <row r="21" spans="1:11" ht="24" customHeight="1" x14ac:dyDescent="0.2">
      <c r="A21" s="304">
        <v>9</v>
      </c>
      <c r="B21" s="305" t="s">
        <v>24</v>
      </c>
      <c r="C21" s="22">
        <v>73452000</v>
      </c>
      <c r="D21" s="22">
        <v>63264000</v>
      </c>
      <c r="E21" s="22">
        <f t="shared" si="0"/>
        <v>-10188000</v>
      </c>
      <c r="F21" s="306">
        <f t="shared" si="1"/>
        <v>-0.13870282633556608</v>
      </c>
    </row>
    <row r="22" spans="1:11" ht="24" customHeight="1" x14ac:dyDescent="0.25">
      <c r="A22" s="307"/>
      <c r="B22" s="308" t="s">
        <v>25</v>
      </c>
      <c r="C22" s="309">
        <f>SUM(C13:C21)</f>
        <v>310902000</v>
      </c>
      <c r="D22" s="309">
        <f>SUM(D13:D21)</f>
        <v>321788000</v>
      </c>
      <c r="E22" s="309">
        <f t="shared" si="0"/>
        <v>10886000</v>
      </c>
      <c r="F22" s="310">
        <f t="shared" si="1"/>
        <v>3.5014248862985764E-2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0</v>
      </c>
      <c r="E29" s="309">
        <f>D29-C29</f>
        <v>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139530000</v>
      </c>
      <c r="D33" s="22">
        <v>191542000</v>
      </c>
      <c r="E33" s="22">
        <f>D33-C33</f>
        <v>52012000</v>
      </c>
      <c r="F33" s="306">
        <f>IF(C33=0,0,E33/C33)</f>
        <v>0.372765713466638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876470000</v>
      </c>
      <c r="D36" s="22">
        <v>1183153000</v>
      </c>
      <c r="E36" s="22">
        <f>D36-C36</f>
        <v>306683000</v>
      </c>
      <c r="F36" s="306">
        <f>IF(C36=0,0,E36/C36)</f>
        <v>0.34990701336041163</v>
      </c>
    </row>
    <row r="37" spans="1:8" ht="24" customHeight="1" x14ac:dyDescent="0.2">
      <c r="A37" s="304">
        <v>2</v>
      </c>
      <c r="B37" s="305" t="s">
        <v>39</v>
      </c>
      <c r="C37" s="22">
        <v>465242000</v>
      </c>
      <c r="D37" s="22">
        <v>494450000</v>
      </c>
      <c r="E37" s="22">
        <f>D37-C37</f>
        <v>29208000</v>
      </c>
      <c r="F37" s="22">
        <f>IF(C37=0,0,E37/C37)</f>
        <v>6.2780230503694856E-2</v>
      </c>
    </row>
    <row r="38" spans="1:8" ht="24" customHeight="1" x14ac:dyDescent="0.25">
      <c r="A38" s="307"/>
      <c r="B38" s="308" t="s">
        <v>40</v>
      </c>
      <c r="C38" s="309">
        <f>C36-C37</f>
        <v>411228000</v>
      </c>
      <c r="D38" s="309">
        <f>D36-D37</f>
        <v>688703000</v>
      </c>
      <c r="E38" s="309">
        <f>D38-C38</f>
        <v>277475000</v>
      </c>
      <c r="F38" s="310">
        <f>IF(C38=0,0,E38/C38)</f>
        <v>0.674747342107055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384211000</v>
      </c>
      <c r="D40" s="22">
        <v>256477000</v>
      </c>
      <c r="E40" s="22">
        <f>D40-C40</f>
        <v>-127734000</v>
      </c>
      <c r="F40" s="306">
        <f>IF(C40=0,0,E40/C40)</f>
        <v>-0.33245794628472375</v>
      </c>
    </row>
    <row r="41" spans="1:8" ht="24" customHeight="1" x14ac:dyDescent="0.25">
      <c r="A41" s="307"/>
      <c r="B41" s="308" t="s">
        <v>42</v>
      </c>
      <c r="C41" s="309">
        <f>+C38+C40</f>
        <v>795439000</v>
      </c>
      <c r="D41" s="309">
        <f>+D38+D40</f>
        <v>945180000</v>
      </c>
      <c r="E41" s="309">
        <f>D41-C41</f>
        <v>149741000</v>
      </c>
      <c r="F41" s="310">
        <f>IF(C41=0,0,E41/C41)</f>
        <v>0.18824950750466093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1245871000</v>
      </c>
      <c r="D43" s="309">
        <f>D22+D29+D31+D32+D33+D41</f>
        <v>1458510000</v>
      </c>
      <c r="E43" s="309">
        <f>D43-C43</f>
        <v>212639000</v>
      </c>
      <c r="F43" s="310">
        <f>IF(C43=0,0,E43/C43)</f>
        <v>0.17067497357270536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41032000</v>
      </c>
      <c r="D49" s="22">
        <v>43595000</v>
      </c>
      <c r="E49" s="22">
        <f t="shared" ref="E49:E56" si="2">D49-C49</f>
        <v>2563000</v>
      </c>
      <c r="F49" s="306">
        <f t="shared" ref="F49:F56" si="3">IF(C49=0,0,E49/C49)</f>
        <v>6.2463443166309224E-2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23540000</v>
      </c>
      <c r="D50" s="22">
        <v>27244000</v>
      </c>
      <c r="E50" s="22">
        <f t="shared" si="2"/>
        <v>3704000</v>
      </c>
      <c r="F50" s="306">
        <f t="shared" si="3"/>
        <v>0.15734919286321156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16726000</v>
      </c>
      <c r="D51" s="22">
        <v>23956000</v>
      </c>
      <c r="E51" s="22">
        <f t="shared" si="2"/>
        <v>7230000</v>
      </c>
      <c r="F51" s="306">
        <f t="shared" si="3"/>
        <v>0.43226115030491452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5498000</v>
      </c>
      <c r="D53" s="22">
        <v>5787000</v>
      </c>
      <c r="E53" s="22">
        <f t="shared" si="2"/>
        <v>289000</v>
      </c>
      <c r="F53" s="306">
        <f t="shared" si="3"/>
        <v>5.2564568934157875E-2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32770000</v>
      </c>
      <c r="D55" s="22">
        <v>35557000</v>
      </c>
      <c r="E55" s="22">
        <f t="shared" si="2"/>
        <v>2787000</v>
      </c>
      <c r="F55" s="306">
        <f t="shared" si="3"/>
        <v>8.5047299359169978E-2</v>
      </c>
    </row>
    <row r="56" spans="1:6" ht="24" customHeight="1" x14ac:dyDescent="0.25">
      <c r="A56" s="307"/>
      <c r="B56" s="308" t="s">
        <v>54</v>
      </c>
      <c r="C56" s="309">
        <f>SUM(C49:C55)</f>
        <v>119566000</v>
      </c>
      <c r="D56" s="309">
        <f>SUM(D49:D55)</f>
        <v>136139000</v>
      </c>
      <c r="E56" s="309">
        <f t="shared" si="2"/>
        <v>16573000</v>
      </c>
      <c r="F56" s="310">
        <f t="shared" si="3"/>
        <v>0.13860963819145911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210700000</v>
      </c>
      <c r="D60" s="22">
        <v>204913000</v>
      </c>
      <c r="E60" s="22">
        <f>D60-C60</f>
        <v>-5787000</v>
      </c>
      <c r="F60" s="306">
        <f>IF(C60=0,0,E60/C60)</f>
        <v>-2.7465590887517797E-2</v>
      </c>
    </row>
    <row r="61" spans="1:6" ht="24" customHeight="1" x14ac:dyDescent="0.25">
      <c r="A61" s="307"/>
      <c r="B61" s="308" t="s">
        <v>58</v>
      </c>
      <c r="C61" s="309">
        <f>SUM(C59:C60)</f>
        <v>210700000</v>
      </c>
      <c r="D61" s="309">
        <f>SUM(D59:D60)</f>
        <v>204913000</v>
      </c>
      <c r="E61" s="309">
        <f>D61-C61</f>
        <v>-5787000</v>
      </c>
      <c r="F61" s="310">
        <f>IF(C61=0,0,E61/C61)</f>
        <v>-2.7465590887517797E-2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800024000</v>
      </c>
      <c r="D63" s="22">
        <v>874393000</v>
      </c>
      <c r="E63" s="22">
        <f>D63-C63</f>
        <v>74369000</v>
      </c>
      <c r="F63" s="306">
        <f>IF(C63=0,0,E63/C63)</f>
        <v>9.295846124616261E-2</v>
      </c>
    </row>
    <row r="64" spans="1:6" ht="24" customHeight="1" x14ac:dyDescent="0.2">
      <c r="A64" s="304">
        <v>4</v>
      </c>
      <c r="B64" s="305" t="s">
        <v>60</v>
      </c>
      <c r="C64" s="22">
        <v>79609000</v>
      </c>
      <c r="D64" s="22">
        <v>57294000</v>
      </c>
      <c r="E64" s="22">
        <f>D64-C64</f>
        <v>-22315000</v>
      </c>
      <c r="F64" s="306">
        <f>IF(C64=0,0,E64/C64)</f>
        <v>-0.28030750292052409</v>
      </c>
    </row>
    <row r="65" spans="1:6" ht="24" customHeight="1" x14ac:dyDescent="0.25">
      <c r="A65" s="307"/>
      <c r="B65" s="308" t="s">
        <v>61</v>
      </c>
      <c r="C65" s="309">
        <f>SUM(C61:C64)</f>
        <v>1090333000</v>
      </c>
      <c r="D65" s="309">
        <f>SUM(D61:D64)</f>
        <v>1136600000</v>
      </c>
      <c r="E65" s="309">
        <f>D65-C65</f>
        <v>46267000</v>
      </c>
      <c r="F65" s="310">
        <f>IF(C65=0,0,E65/C65)</f>
        <v>4.2433825262557401E-2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-648621000</v>
      </c>
      <c r="D70" s="22">
        <v>-666313000</v>
      </c>
      <c r="E70" s="22">
        <f>D70-C70</f>
        <v>-17692000</v>
      </c>
      <c r="F70" s="306">
        <f>IF(C70=0,0,E70/C70)</f>
        <v>2.7276329320203942E-2</v>
      </c>
    </row>
    <row r="71" spans="1:6" ht="24" customHeight="1" x14ac:dyDescent="0.2">
      <c r="A71" s="304">
        <v>2</v>
      </c>
      <c r="B71" s="305" t="s">
        <v>65</v>
      </c>
      <c r="C71" s="22">
        <v>684532000</v>
      </c>
      <c r="D71" s="22">
        <v>852023000</v>
      </c>
      <c r="E71" s="22">
        <f>D71-C71</f>
        <v>167491000</v>
      </c>
      <c r="F71" s="306">
        <f>IF(C71=0,0,E71/C71)</f>
        <v>0.24467957670349963</v>
      </c>
    </row>
    <row r="72" spans="1:6" ht="24" customHeight="1" x14ac:dyDescent="0.2">
      <c r="A72" s="304">
        <v>3</v>
      </c>
      <c r="B72" s="305" t="s">
        <v>66</v>
      </c>
      <c r="C72" s="22">
        <v>61000</v>
      </c>
      <c r="D72" s="22">
        <v>61000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35972000</v>
      </c>
      <c r="D73" s="309">
        <f>SUM(D70:D72)</f>
        <v>185771000</v>
      </c>
      <c r="E73" s="309">
        <f>D73-C73</f>
        <v>149799000</v>
      </c>
      <c r="F73" s="310">
        <f>IF(C73=0,0,E73/C73)</f>
        <v>4.164322250639386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1245871000</v>
      </c>
      <c r="D75" s="309">
        <f>D56+D65+D67+D73</f>
        <v>1458510000</v>
      </c>
      <c r="E75" s="309">
        <f>D75-C75</f>
        <v>212639000</v>
      </c>
      <c r="F75" s="310">
        <f>IF(C75=0,0,E75/C75)</f>
        <v>0.17067497357270536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B38" sqref="B38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1071396542</v>
      </c>
      <c r="D11" s="76">
        <v>1167107227</v>
      </c>
      <c r="E11" s="76">
        <f t="shared" ref="E11:E20" si="0">D11-C11</f>
        <v>95710685</v>
      </c>
      <c r="F11" s="77">
        <f t="shared" ref="F11:F20" si="1">IF(C11=0,0,E11/C11)</f>
        <v>8.933264318861317E-2</v>
      </c>
    </row>
    <row r="12" spans="1:7" ht="23.1" customHeight="1" x14ac:dyDescent="0.2">
      <c r="A12" s="74">
        <v>2</v>
      </c>
      <c r="B12" s="75" t="s">
        <v>72</v>
      </c>
      <c r="C12" s="76">
        <v>540819537</v>
      </c>
      <c r="D12" s="76">
        <v>620578125</v>
      </c>
      <c r="E12" s="76">
        <f t="shared" si="0"/>
        <v>79758588</v>
      </c>
      <c r="F12" s="77">
        <f t="shared" si="1"/>
        <v>0.14747726837390493</v>
      </c>
    </row>
    <row r="13" spans="1:7" ht="23.1" customHeight="1" x14ac:dyDescent="0.2">
      <c r="A13" s="74">
        <v>3</v>
      </c>
      <c r="B13" s="75" t="s">
        <v>73</v>
      </c>
      <c r="C13" s="76">
        <v>327517</v>
      </c>
      <c r="D13" s="76">
        <v>436729</v>
      </c>
      <c r="E13" s="76">
        <f t="shared" si="0"/>
        <v>109212</v>
      </c>
      <c r="F13" s="77">
        <f t="shared" si="1"/>
        <v>0.3334544466394111</v>
      </c>
    </row>
    <row r="14" spans="1:7" ht="23.1" customHeight="1" x14ac:dyDescent="0.2">
      <c r="A14" s="74">
        <v>4</v>
      </c>
      <c r="B14" s="75" t="s">
        <v>74</v>
      </c>
      <c r="C14" s="76">
        <v>6289720</v>
      </c>
      <c r="D14" s="76">
        <v>6137731</v>
      </c>
      <c r="E14" s="76">
        <f t="shared" si="0"/>
        <v>-151989</v>
      </c>
      <c r="F14" s="77">
        <f t="shared" si="1"/>
        <v>-2.4164668697493688E-2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523959768</v>
      </c>
      <c r="D15" s="79">
        <f>D11-D12-D13-D14</f>
        <v>539954642</v>
      </c>
      <c r="E15" s="79">
        <f t="shared" si="0"/>
        <v>15994874</v>
      </c>
      <c r="F15" s="80">
        <f t="shared" si="1"/>
        <v>3.0526912516687731E-2</v>
      </c>
    </row>
    <row r="16" spans="1:7" ht="23.1" customHeight="1" x14ac:dyDescent="0.2">
      <c r="A16" s="74">
        <v>5</v>
      </c>
      <c r="B16" s="75" t="s">
        <v>76</v>
      </c>
      <c r="C16" s="76">
        <v>10999593</v>
      </c>
      <c r="D16" s="76">
        <v>7079054</v>
      </c>
      <c r="E16" s="76">
        <f t="shared" si="0"/>
        <v>-3920539</v>
      </c>
      <c r="F16" s="77">
        <f t="shared" si="1"/>
        <v>-0.35642582411912876</v>
      </c>
      <c r="G16" s="65"/>
    </row>
    <row r="17" spans="1:7" ht="31.5" customHeight="1" x14ac:dyDescent="0.25">
      <c r="A17" s="71"/>
      <c r="B17" s="81" t="s">
        <v>77</v>
      </c>
      <c r="C17" s="79">
        <f>C15-C16</f>
        <v>512960175</v>
      </c>
      <c r="D17" s="79">
        <f>D15-D16</f>
        <v>532875588</v>
      </c>
      <c r="E17" s="79">
        <f t="shared" si="0"/>
        <v>19915413</v>
      </c>
      <c r="F17" s="80">
        <f t="shared" si="1"/>
        <v>3.8824481842084521E-2</v>
      </c>
    </row>
    <row r="18" spans="1:7" ht="23.1" customHeight="1" x14ac:dyDescent="0.2">
      <c r="A18" s="74">
        <v>6</v>
      </c>
      <c r="B18" s="75" t="s">
        <v>78</v>
      </c>
      <c r="C18" s="76">
        <v>208207357</v>
      </c>
      <c r="D18" s="76">
        <v>210390321</v>
      </c>
      <c r="E18" s="76">
        <f t="shared" si="0"/>
        <v>2182964</v>
      </c>
      <c r="F18" s="77">
        <f t="shared" si="1"/>
        <v>1.0484567075120212E-2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721167532</v>
      </c>
      <c r="D20" s="79">
        <f>SUM(D17:D19)</f>
        <v>743265909</v>
      </c>
      <c r="E20" s="79">
        <f t="shared" si="0"/>
        <v>22098377</v>
      </c>
      <c r="F20" s="80">
        <f t="shared" si="1"/>
        <v>3.0642501248933099E-2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386057921</v>
      </c>
      <c r="D23" s="76">
        <v>403799745</v>
      </c>
      <c r="E23" s="76">
        <f t="shared" ref="E23:E32" si="2">D23-C23</f>
        <v>17741824</v>
      </c>
      <c r="F23" s="77">
        <f t="shared" ref="F23:F32" si="3">IF(C23=0,0,E23/C23)</f>
        <v>4.5956378654383317E-2</v>
      </c>
    </row>
    <row r="24" spans="1:7" ht="23.1" customHeight="1" x14ac:dyDescent="0.2">
      <c r="A24" s="74">
        <v>2</v>
      </c>
      <c r="B24" s="75" t="s">
        <v>83</v>
      </c>
      <c r="C24" s="76">
        <v>227377720</v>
      </c>
      <c r="D24" s="76">
        <v>251673183</v>
      </c>
      <c r="E24" s="76">
        <f t="shared" si="2"/>
        <v>24295463</v>
      </c>
      <c r="F24" s="77">
        <f t="shared" si="3"/>
        <v>0.10685067560709115</v>
      </c>
    </row>
    <row r="25" spans="1:7" ht="23.1" customHeight="1" x14ac:dyDescent="0.2">
      <c r="A25" s="74">
        <v>3</v>
      </c>
      <c r="B25" s="75" t="s">
        <v>84</v>
      </c>
      <c r="C25" s="76">
        <v>56839626</v>
      </c>
      <c r="D25" s="76">
        <v>61801052</v>
      </c>
      <c r="E25" s="76">
        <f t="shared" si="2"/>
        <v>4961426</v>
      </c>
      <c r="F25" s="77">
        <f t="shared" si="3"/>
        <v>8.7288153514592084E-2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90226126</v>
      </c>
      <c r="D26" s="76">
        <v>89992837</v>
      </c>
      <c r="E26" s="76">
        <f t="shared" si="2"/>
        <v>-233289</v>
      </c>
      <c r="F26" s="77">
        <f t="shared" si="3"/>
        <v>-2.5856036421202434E-3</v>
      </c>
    </row>
    <row r="27" spans="1:7" ht="23.1" customHeight="1" x14ac:dyDescent="0.2">
      <c r="A27" s="74">
        <v>5</v>
      </c>
      <c r="B27" s="75" t="s">
        <v>86</v>
      </c>
      <c r="C27" s="76">
        <v>37829946</v>
      </c>
      <c r="D27" s="76">
        <v>41468473</v>
      </c>
      <c r="E27" s="76">
        <f t="shared" si="2"/>
        <v>3638527</v>
      </c>
      <c r="F27" s="77">
        <f t="shared" si="3"/>
        <v>9.6181131212822776E-2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8</v>
      </c>
      <c r="B30" s="75" t="s">
        <v>89</v>
      </c>
      <c r="C30" s="76">
        <v>9798851</v>
      </c>
      <c r="D30" s="76">
        <v>9210184</v>
      </c>
      <c r="E30" s="76">
        <f t="shared" si="2"/>
        <v>-588667</v>
      </c>
      <c r="F30" s="77">
        <f t="shared" si="3"/>
        <v>-6.0075104724013048E-2</v>
      </c>
    </row>
    <row r="31" spans="1:7" ht="23.1" customHeight="1" x14ac:dyDescent="0.2">
      <c r="A31" s="74">
        <v>9</v>
      </c>
      <c r="B31" s="75" t="s">
        <v>90</v>
      </c>
      <c r="C31" s="76">
        <v>198911541</v>
      </c>
      <c r="D31" s="76">
        <v>195631949</v>
      </c>
      <c r="E31" s="76">
        <f t="shared" si="2"/>
        <v>-3279592</v>
      </c>
      <c r="F31" s="77">
        <f t="shared" si="3"/>
        <v>-1.6487690877624844E-2</v>
      </c>
    </row>
    <row r="32" spans="1:7" ht="23.1" customHeight="1" x14ac:dyDescent="0.25">
      <c r="A32" s="71"/>
      <c r="B32" s="78" t="s">
        <v>91</v>
      </c>
      <c r="C32" s="79">
        <f>SUM(C23:C31)</f>
        <v>1007041731</v>
      </c>
      <c r="D32" s="79">
        <f>SUM(D23:D31)</f>
        <v>1053577423</v>
      </c>
      <c r="E32" s="79">
        <f t="shared" si="2"/>
        <v>46535692</v>
      </c>
      <c r="F32" s="80">
        <f t="shared" si="3"/>
        <v>4.6210291557421068E-2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-285874199</v>
      </c>
      <c r="D34" s="79">
        <f>+D20-D32</f>
        <v>-310311514</v>
      </c>
      <c r="E34" s="79">
        <f>D34-C34</f>
        <v>-24437315</v>
      </c>
      <c r="F34" s="80">
        <f>IF(C34=0,0,E34/C34)</f>
        <v>8.5482758099481373E-2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176325</v>
      </c>
      <c r="D37" s="76">
        <v>141271</v>
      </c>
      <c r="E37" s="76">
        <f>D37-C37</f>
        <v>-35054</v>
      </c>
      <c r="F37" s="77">
        <f>IF(C37=0,0,E37/C37)</f>
        <v>-0.19880334609386077</v>
      </c>
    </row>
    <row r="38" spans="1:6" ht="23.1" customHeight="1" x14ac:dyDescent="0.2">
      <c r="A38" s="85">
        <v>2</v>
      </c>
      <c r="B38" s="75" t="s">
        <v>95</v>
      </c>
      <c r="C38" s="76">
        <v>7174656</v>
      </c>
      <c r="D38" s="76">
        <v>6865194</v>
      </c>
      <c r="E38" s="76">
        <f>D38-C38</f>
        <v>-309462</v>
      </c>
      <c r="F38" s="77">
        <f>IF(C38=0,0,E38/C38)</f>
        <v>-4.3132660297580817E-2</v>
      </c>
    </row>
    <row r="39" spans="1:6" ht="23.1" customHeight="1" x14ac:dyDescent="0.2">
      <c r="A39" s="85">
        <v>3</v>
      </c>
      <c r="B39" s="75" t="s">
        <v>96</v>
      </c>
      <c r="C39" s="76">
        <v>432733171</v>
      </c>
      <c r="D39" s="76">
        <v>453104571</v>
      </c>
      <c r="E39" s="76">
        <f>D39-C39</f>
        <v>20371400</v>
      </c>
      <c r="F39" s="77">
        <f>IF(C39=0,0,E39/C39)</f>
        <v>4.707612303656749E-2</v>
      </c>
    </row>
    <row r="40" spans="1:6" ht="23.1" customHeight="1" x14ac:dyDescent="0.25">
      <c r="A40" s="83"/>
      <c r="B40" s="78" t="s">
        <v>97</v>
      </c>
      <c r="C40" s="79">
        <f>SUM(C37:C39)</f>
        <v>440084152</v>
      </c>
      <c r="D40" s="79">
        <f>SUM(D37:D39)</f>
        <v>460111036</v>
      </c>
      <c r="E40" s="79">
        <f>D40-C40</f>
        <v>20026884</v>
      </c>
      <c r="F40" s="80">
        <f>IF(C40=0,0,E40/C40)</f>
        <v>4.5506942045029607E-2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154209953</v>
      </c>
      <c r="D42" s="79">
        <f>D34+D40</f>
        <v>149799522</v>
      </c>
      <c r="E42" s="79">
        <f>D42-C42</f>
        <v>-4410431</v>
      </c>
      <c r="F42" s="80">
        <f>IF(C42=0,0,E42/C42)</f>
        <v>-2.860017083333136E-2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154209953</v>
      </c>
      <c r="D49" s="79">
        <f>D42+D47</f>
        <v>149799522</v>
      </c>
      <c r="E49" s="79">
        <f>D49-C49</f>
        <v>-4410431</v>
      </c>
      <c r="F49" s="80">
        <f>IF(C49=0,0,E49/C49)</f>
        <v>-2.860017083333136E-2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FILING&amp;RJOHN DEMPSEY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2017-09-19T18:59:38Z</cp:lastPrinted>
  <dcterms:created xsi:type="dcterms:W3CDTF">2017-09-14T15:59:36Z</dcterms:created>
  <dcterms:modified xsi:type="dcterms:W3CDTF">2017-09-19T19:35:02Z</dcterms:modified>
</cp:coreProperties>
</file>