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 s="1"/>
  <c r="E92" i="22"/>
  <c r="E93" i="22" s="1"/>
  <c r="D92" i="22"/>
  <c r="C92" i="22"/>
  <c r="E91" i="22"/>
  <c r="D91" i="22"/>
  <c r="D93" i="22" s="1"/>
  <c r="C91" i="22"/>
  <c r="C93" i="22" s="1"/>
  <c r="E87" i="22"/>
  <c r="D87" i="22"/>
  <c r="C87" i="22"/>
  <c r="E86" i="22"/>
  <c r="E88" i="22"/>
  <c r="D86" i="22"/>
  <c r="D88" i="22" s="1"/>
  <c r="C86" i="22"/>
  <c r="E83" i="22"/>
  <c r="E101" i="22" s="1"/>
  <c r="D83" i="22"/>
  <c r="D102" i="22" s="1"/>
  <c r="C83" i="22"/>
  <c r="C101" i="22" s="1"/>
  <c r="E76" i="22"/>
  <c r="D76" i="22"/>
  <c r="C76" i="22"/>
  <c r="E75" i="22"/>
  <c r="E77" i="22" s="1"/>
  <c r="D75" i="22"/>
  <c r="D77" i="22" s="1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34" i="22" s="1"/>
  <c r="C12" i="22"/>
  <c r="D21" i="21"/>
  <c r="E21" i="21" s="1"/>
  <c r="C21" i="21"/>
  <c r="D19" i="21"/>
  <c r="C19" i="21"/>
  <c r="E17" i="21"/>
  <c r="F17" i="21" s="1"/>
  <c r="E15" i="21"/>
  <c r="F15" i="21" s="1"/>
  <c r="D45" i="20"/>
  <c r="E45" i="20" s="1"/>
  <c r="C45" i="20"/>
  <c r="D44" i="20"/>
  <c r="E44" i="20" s="1"/>
  <c r="C44" i="20"/>
  <c r="D43" i="20"/>
  <c r="D46" i="20" s="1"/>
  <c r="C43" i="20"/>
  <c r="D36" i="20"/>
  <c r="D40" i="20" s="1"/>
  <c r="D41" i="20" s="1"/>
  <c r="C36" i="20"/>
  <c r="E35" i="20"/>
  <c r="F35" i="20" s="1"/>
  <c r="F34" i="20"/>
  <c r="E34" i="20"/>
  <c r="E33" i="20"/>
  <c r="F30" i="20"/>
  <c r="E30" i="20"/>
  <c r="E29" i="20"/>
  <c r="F29" i="20" s="1"/>
  <c r="E28" i="20"/>
  <c r="F28" i="20" s="1"/>
  <c r="E27" i="20"/>
  <c r="F27" i="20" s="1"/>
  <c r="D25" i="20"/>
  <c r="D39" i="20" s="1"/>
  <c r="C25" i="20"/>
  <c r="C39" i="20" s="1"/>
  <c r="E39" i="20" s="1"/>
  <c r="F39" i="20" s="1"/>
  <c r="E24" i="20"/>
  <c r="F24" i="20" s="1"/>
  <c r="E23" i="20"/>
  <c r="F23" i="20" s="1"/>
  <c r="E22" i="20"/>
  <c r="E25" i="20" s="1"/>
  <c r="D19" i="20"/>
  <c r="D20" i="20" s="1"/>
  <c r="C19" i="20"/>
  <c r="E18" i="20"/>
  <c r="F18" i="20" s="1"/>
  <c r="D16" i="20"/>
  <c r="E16" i="20"/>
  <c r="C16" i="20"/>
  <c r="E15" i="20"/>
  <c r="F15" i="20" s="1"/>
  <c r="F13" i="20"/>
  <c r="E13" i="20"/>
  <c r="E12" i="20"/>
  <c r="F12" i="20" s="1"/>
  <c r="C115" i="19"/>
  <c r="C105" i="19"/>
  <c r="C137" i="19" s="1"/>
  <c r="C139" i="19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E324" i="18" s="1"/>
  <c r="C324" i="18"/>
  <c r="C326" i="18" s="1"/>
  <c r="C330" i="18" s="1"/>
  <c r="E318" i="18"/>
  <c r="E315" i="18"/>
  <c r="D314" i="18"/>
  <c r="D316" i="18" s="1"/>
  <c r="D320" i="18" s="1"/>
  <c r="C314" i="18"/>
  <c r="C316" i="18" s="1"/>
  <c r="C320" i="18" s="1"/>
  <c r="E308" i="18"/>
  <c r="E305" i="18"/>
  <c r="D301" i="18"/>
  <c r="E301" i="18" s="1"/>
  <c r="C301" i="18"/>
  <c r="D293" i="18"/>
  <c r="E293" i="18" s="1"/>
  <c r="C293" i="18"/>
  <c r="D292" i="18"/>
  <c r="E292" i="18" s="1"/>
  <c r="C292" i="18"/>
  <c r="D291" i="18"/>
  <c r="C291" i="18"/>
  <c r="E291" i="18" s="1"/>
  <c r="D290" i="18"/>
  <c r="C290" i="18"/>
  <c r="E290" i="18" s="1"/>
  <c r="D288" i="18"/>
  <c r="C288" i="18"/>
  <c r="D287" i="18"/>
  <c r="E287" i="18" s="1"/>
  <c r="C287" i="18"/>
  <c r="D282" i="18"/>
  <c r="E282" i="18"/>
  <c r="C282" i="18"/>
  <c r="D281" i="18"/>
  <c r="E281" i="18" s="1"/>
  <c r="C281" i="18"/>
  <c r="D280" i="18"/>
  <c r="E280" i="18" s="1"/>
  <c r="C280" i="18"/>
  <c r="D279" i="18"/>
  <c r="C279" i="18"/>
  <c r="D278" i="18"/>
  <c r="E278" i="18"/>
  <c r="C278" i="18"/>
  <c r="D277" i="18"/>
  <c r="E277" i="18" s="1"/>
  <c r="C277" i="18"/>
  <c r="D276" i="18"/>
  <c r="C276" i="18"/>
  <c r="E270" i="18"/>
  <c r="D265" i="18"/>
  <c r="C265" i="18"/>
  <c r="C302" i="18"/>
  <c r="D262" i="18"/>
  <c r="E262" i="18" s="1"/>
  <c r="C262" i="18"/>
  <c r="D251" i="18"/>
  <c r="C251" i="18"/>
  <c r="D233" i="18"/>
  <c r="C233" i="18"/>
  <c r="D232" i="18"/>
  <c r="C232" i="18"/>
  <c r="D231" i="18"/>
  <c r="C231" i="18"/>
  <c r="D230" i="18"/>
  <c r="C230" i="18"/>
  <c r="E230" i="18"/>
  <c r="D228" i="18"/>
  <c r="C228" i="18"/>
  <c r="D227" i="18"/>
  <c r="C227" i="18"/>
  <c r="D221" i="18"/>
  <c r="D245" i="18" s="1"/>
  <c r="E245" i="18" s="1"/>
  <c r="C221" i="18"/>
  <c r="C245" i="18" s="1"/>
  <c r="D220" i="18"/>
  <c r="C220" i="18"/>
  <c r="C244" i="18"/>
  <c r="D219" i="18"/>
  <c r="C219" i="18"/>
  <c r="C243" i="18" s="1"/>
  <c r="D218" i="18"/>
  <c r="C218" i="18"/>
  <c r="C242" i="18" s="1"/>
  <c r="C217" i="18"/>
  <c r="C241" i="18" s="1"/>
  <c r="D216" i="18"/>
  <c r="D240" i="18" s="1"/>
  <c r="C216" i="18"/>
  <c r="C240" i="18" s="1"/>
  <c r="D215" i="18"/>
  <c r="D239" i="18" s="1"/>
  <c r="E239" i="18" s="1"/>
  <c r="C215" i="18"/>
  <c r="C239" i="18" s="1"/>
  <c r="E209" i="18"/>
  <c r="E208" i="18"/>
  <c r="E207" i="18"/>
  <c r="E206" i="18"/>
  <c r="D205" i="18"/>
  <c r="D229" i="18" s="1"/>
  <c r="E229" i="18" s="1"/>
  <c r="C205" i="18"/>
  <c r="C210" i="18" s="1"/>
  <c r="C229" i="18"/>
  <c r="E204" i="18"/>
  <c r="E203" i="18"/>
  <c r="E197" i="18"/>
  <c r="E196" i="18"/>
  <c r="D195" i="18"/>
  <c r="D260" i="18" s="1"/>
  <c r="C195" i="18"/>
  <c r="C260" i="18" s="1"/>
  <c r="E194" i="18"/>
  <c r="E193" i="18"/>
  <c r="E192" i="18"/>
  <c r="E191" i="18"/>
  <c r="E190" i="18"/>
  <c r="D188" i="18"/>
  <c r="C188" i="18"/>
  <c r="C261" i="18" s="1"/>
  <c r="E186" i="18"/>
  <c r="E185" i="18"/>
  <c r="D179" i="18"/>
  <c r="E179" i="18"/>
  <c r="C179" i="18"/>
  <c r="D178" i="18"/>
  <c r="E178" i="18" s="1"/>
  <c r="C178" i="18"/>
  <c r="D177" i="18"/>
  <c r="C177" i="18"/>
  <c r="D176" i="18"/>
  <c r="C176" i="18"/>
  <c r="D174" i="18"/>
  <c r="C174" i="18"/>
  <c r="D173" i="18"/>
  <c r="E173" i="18" s="1"/>
  <c r="C173" i="18"/>
  <c r="D167" i="18"/>
  <c r="C167" i="18"/>
  <c r="E167" i="18"/>
  <c r="D166" i="18"/>
  <c r="C166" i="18"/>
  <c r="D165" i="18"/>
  <c r="E165" i="18" s="1"/>
  <c r="C165" i="18"/>
  <c r="D164" i="18"/>
  <c r="C164" i="18"/>
  <c r="E164" i="18" s="1"/>
  <c r="D162" i="18"/>
  <c r="C162" i="18"/>
  <c r="D161" i="18"/>
  <c r="E161" i="18" s="1"/>
  <c r="C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D144" i="18" s="1"/>
  <c r="D163" i="18"/>
  <c r="C139" i="18"/>
  <c r="E138" i="18"/>
  <c r="E137" i="18"/>
  <c r="D75" i="18"/>
  <c r="E75" i="18" s="1"/>
  <c r="C75" i="18"/>
  <c r="D74" i="18"/>
  <c r="E74" i="18" s="1"/>
  <c r="C74" i="18"/>
  <c r="D73" i="18"/>
  <c r="E73" i="18" s="1"/>
  <c r="C73" i="18"/>
  <c r="D72" i="18"/>
  <c r="E72" i="18" s="1"/>
  <c r="C72" i="18"/>
  <c r="D71" i="18"/>
  <c r="D70" i="18"/>
  <c r="C70" i="18"/>
  <c r="D69" i="18"/>
  <c r="E69" i="18" s="1"/>
  <c r="C69" i="18"/>
  <c r="E64" i="18"/>
  <c r="E63" i="18"/>
  <c r="E62" i="18"/>
  <c r="E61" i="18"/>
  <c r="D60" i="18"/>
  <c r="D289" i="18" s="1"/>
  <c r="C60" i="18"/>
  <c r="E59" i="18"/>
  <c r="E58" i="18"/>
  <c r="D54" i="18"/>
  <c r="D55" i="18" s="1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E41" i="18" s="1"/>
  <c r="C41" i="18"/>
  <c r="D40" i="18"/>
  <c r="C40" i="18"/>
  <c r="E40" i="18" s="1"/>
  <c r="D39" i="18"/>
  <c r="C39" i="18"/>
  <c r="E39" i="18" s="1"/>
  <c r="D38" i="18"/>
  <c r="C38" i="18"/>
  <c r="C43" i="18" s="1"/>
  <c r="D37" i="18"/>
  <c r="E37" i="18" s="1"/>
  <c r="C37" i="18"/>
  <c r="D36" i="18"/>
  <c r="C36" i="18"/>
  <c r="D32" i="18"/>
  <c r="C32" i="18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F332" i="17"/>
  <c r="E332" i="17"/>
  <c r="E331" i="17"/>
  <c r="F331" i="17" s="1"/>
  <c r="E330" i="17"/>
  <c r="F330" i="17"/>
  <c r="E329" i="17"/>
  <c r="F329" i="17" s="1"/>
  <c r="F316" i="17"/>
  <c r="E316" i="17"/>
  <c r="D311" i="17"/>
  <c r="C311" i="17"/>
  <c r="F311" i="17" s="1"/>
  <c r="E308" i="17"/>
  <c r="F308" i="17" s="1"/>
  <c r="D307" i="17"/>
  <c r="C307" i="17"/>
  <c r="D299" i="17"/>
  <c r="E299" i="17" s="1"/>
  <c r="F299" i="17" s="1"/>
  <c r="C299" i="17"/>
  <c r="D298" i="17"/>
  <c r="E298" i="17" s="1"/>
  <c r="F298" i="17" s="1"/>
  <c r="C298" i="17"/>
  <c r="D297" i="17"/>
  <c r="E297" i="17" s="1"/>
  <c r="F297" i="17" s="1"/>
  <c r="C297" i="17"/>
  <c r="D296" i="17"/>
  <c r="E296" i="17" s="1"/>
  <c r="F296" i="17" s="1"/>
  <c r="C296" i="17"/>
  <c r="D295" i="17"/>
  <c r="E295" i="17" s="1"/>
  <c r="F295" i="17" s="1"/>
  <c r="C295" i="17"/>
  <c r="D294" i="17"/>
  <c r="E294" i="17" s="1"/>
  <c r="F294" i="17" s="1"/>
  <c r="C294" i="17"/>
  <c r="D250" i="17"/>
  <c r="D306" i="17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D239" i="17" s="1"/>
  <c r="C237" i="17"/>
  <c r="E234" i="17"/>
  <c r="F234" i="17" s="1"/>
  <c r="E233" i="17"/>
  <c r="F233" i="17" s="1"/>
  <c r="D230" i="17"/>
  <c r="C230" i="17"/>
  <c r="D229" i="17"/>
  <c r="C229" i="17"/>
  <c r="E228" i="17"/>
  <c r="F228" i="17" s="1"/>
  <c r="D226" i="17"/>
  <c r="D227" i="17" s="1"/>
  <c r="C226" i="17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D269" i="17" s="1"/>
  <c r="D270" i="17" s="1"/>
  <c r="C204" i="17"/>
  <c r="D203" i="17"/>
  <c r="D267" i="17"/>
  <c r="C203" i="17"/>
  <c r="D198" i="17"/>
  <c r="C198" i="17"/>
  <c r="D191" i="17"/>
  <c r="D264" i="17"/>
  <c r="C191" i="17"/>
  <c r="D189" i="17"/>
  <c r="C189" i="17"/>
  <c r="D188" i="17"/>
  <c r="D261" i="17" s="1"/>
  <c r="C188" i="17"/>
  <c r="D180" i="17"/>
  <c r="C180" i="17"/>
  <c r="D179" i="17"/>
  <c r="D181" i="17"/>
  <c r="C179" i="17"/>
  <c r="D171" i="17"/>
  <c r="D172" i="17" s="1"/>
  <c r="D173" i="17" s="1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 s="1"/>
  <c r="C158" i="17"/>
  <c r="C159" i="17" s="1"/>
  <c r="E157" i="17"/>
  <c r="F157" i="17"/>
  <c r="E156" i="17"/>
  <c r="F156" i="17" s="1"/>
  <c r="D155" i="17"/>
  <c r="C155" i="17"/>
  <c r="E154" i="17"/>
  <c r="F154" i="17" s="1"/>
  <c r="E153" i="17"/>
  <c r="F153" i="17"/>
  <c r="D145" i="17"/>
  <c r="C145" i="17"/>
  <c r="D144" i="17"/>
  <c r="C144" i="17"/>
  <c r="C146" i="17" s="1"/>
  <c r="D136" i="17"/>
  <c r="C136" i="17"/>
  <c r="D135" i="17"/>
  <c r="E135" i="17" s="1"/>
  <c r="F135" i="17" s="1"/>
  <c r="C135" i="17"/>
  <c r="E134" i="17"/>
  <c r="F134" i="17" s="1"/>
  <c r="E133" i="17"/>
  <c r="F133" i="17" s="1"/>
  <c r="D130" i="17"/>
  <c r="C130" i="17"/>
  <c r="E130" i="17" s="1"/>
  <c r="D129" i="17"/>
  <c r="C129" i="17"/>
  <c r="E128" i="17"/>
  <c r="F128" i="17"/>
  <c r="D123" i="17"/>
  <c r="C123" i="17"/>
  <c r="C192" i="17" s="1"/>
  <c r="E122" i="17"/>
  <c r="F122" i="17" s="1"/>
  <c r="E121" i="17"/>
  <c r="F121" i="17" s="1"/>
  <c r="D120" i="17"/>
  <c r="E120" i="17" s="1"/>
  <c r="C120" i="17"/>
  <c r="E119" i="17"/>
  <c r="F119" i="17" s="1"/>
  <c r="E118" i="17"/>
  <c r="F118" i="17" s="1"/>
  <c r="D110" i="17"/>
  <c r="E110" i="17" s="1"/>
  <c r="C110" i="17"/>
  <c r="D109" i="17"/>
  <c r="E109" i="17"/>
  <c r="C109" i="17"/>
  <c r="C111" i="17"/>
  <c r="D101" i="17"/>
  <c r="C101" i="17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C88" i="17"/>
  <c r="C89" i="17" s="1"/>
  <c r="E87" i="17"/>
  <c r="F87" i="17" s="1"/>
  <c r="E86" i="17"/>
  <c r="F86" i="17"/>
  <c r="D85" i="17"/>
  <c r="C85" i="17"/>
  <c r="E84" i="17"/>
  <c r="F84" i="17" s="1"/>
  <c r="E83" i="17"/>
  <c r="F83" i="17" s="1"/>
  <c r="D76" i="17"/>
  <c r="D77" i="17" s="1"/>
  <c r="C76" i="17"/>
  <c r="C77" i="17"/>
  <c r="E74" i="17"/>
  <c r="F74" i="17" s="1"/>
  <c r="E73" i="17"/>
  <c r="F73" i="17" s="1"/>
  <c r="D67" i="17"/>
  <c r="D68" i="17" s="1"/>
  <c r="C67" i="17"/>
  <c r="D66" i="17"/>
  <c r="C66" i="17"/>
  <c r="D59" i="17"/>
  <c r="D60" i="17" s="1"/>
  <c r="D61" i="17" s="1"/>
  <c r="D174" i="17" s="1"/>
  <c r="C59" i="17"/>
  <c r="C60" i="17" s="1"/>
  <c r="D58" i="17"/>
  <c r="C58" i="17"/>
  <c r="E57" i="17"/>
  <c r="F57" i="17" s="1"/>
  <c r="E56" i="17"/>
  <c r="F56" i="17"/>
  <c r="D53" i="17"/>
  <c r="C53" i="17"/>
  <c r="D52" i="17"/>
  <c r="C52" i="17"/>
  <c r="E52" i="17" s="1"/>
  <c r="F52" i="17" s="1"/>
  <c r="E51" i="17"/>
  <c r="F51" i="17" s="1"/>
  <c r="D47" i="17"/>
  <c r="D48" i="17" s="1"/>
  <c r="C47" i="17"/>
  <c r="E46" i="17"/>
  <c r="F46" i="17" s="1"/>
  <c r="E45" i="17"/>
  <c r="F45" i="17" s="1"/>
  <c r="D44" i="17"/>
  <c r="E44" i="17" s="1"/>
  <c r="F44" i="17" s="1"/>
  <c r="C44" i="17"/>
  <c r="E43" i="17"/>
  <c r="F43" i="17" s="1"/>
  <c r="E42" i="17"/>
  <c r="F42" i="17" s="1"/>
  <c r="D36" i="17"/>
  <c r="C36" i="17"/>
  <c r="D35" i="17"/>
  <c r="D37" i="17" s="1"/>
  <c r="C35" i="17"/>
  <c r="D30" i="17"/>
  <c r="D31" i="17" s="1"/>
  <c r="D32" i="17" s="1"/>
  <c r="C30" i="17"/>
  <c r="D29" i="17"/>
  <c r="C29" i="17"/>
  <c r="E28" i="17"/>
  <c r="F28" i="17"/>
  <c r="E27" i="17"/>
  <c r="F27" i="17" s="1"/>
  <c r="D24" i="17"/>
  <c r="C24" i="17"/>
  <c r="D23" i="17"/>
  <c r="C23" i="17"/>
  <c r="E22" i="17"/>
  <c r="F22" i="17" s="1"/>
  <c r="C21" i="17"/>
  <c r="D20" i="17"/>
  <c r="C20" i="17"/>
  <c r="E19" i="17"/>
  <c r="F19" i="17" s="1"/>
  <c r="E18" i="17"/>
  <c r="F18" i="17"/>
  <c r="D17" i="17"/>
  <c r="C17" i="17"/>
  <c r="E17" i="17" s="1"/>
  <c r="E16" i="17"/>
  <c r="F16" i="17" s="1"/>
  <c r="E15" i="17"/>
  <c r="F15" i="17" s="1"/>
  <c r="D23" i="16"/>
  <c r="C23" i="16"/>
  <c r="E22" i="16"/>
  <c r="F22" i="16" s="1"/>
  <c r="D19" i="16"/>
  <c r="C19" i="16"/>
  <c r="E18" i="16"/>
  <c r="F18" i="16" s="1"/>
  <c r="E17" i="16"/>
  <c r="F17" i="16" s="1"/>
  <c r="D14" i="16"/>
  <c r="C14" i="16"/>
  <c r="E13" i="16"/>
  <c r="F13" i="16" s="1"/>
  <c r="E12" i="16"/>
  <c r="F12" i="16" s="1"/>
  <c r="D107" i="15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/>
  <c r="E96" i="15"/>
  <c r="F96" i="15" s="1"/>
  <c r="E95" i="15"/>
  <c r="F95" i="15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E85" i="15"/>
  <c r="F85" i="15"/>
  <c r="F84" i="15"/>
  <c r="E84" i="15"/>
  <c r="F83" i="15"/>
  <c r="E83" i="15"/>
  <c r="F82" i="15"/>
  <c r="E82" i="15"/>
  <c r="E81" i="15"/>
  <c r="F81" i="15"/>
  <c r="F80" i="15"/>
  <c r="E80" i="15"/>
  <c r="E79" i="15"/>
  <c r="F79" i="15" s="1"/>
  <c r="D75" i="15"/>
  <c r="C75" i="15"/>
  <c r="E74" i="15"/>
  <c r="F74" i="15"/>
  <c r="E73" i="15"/>
  <c r="F73" i="15"/>
  <c r="D70" i="15"/>
  <c r="C70" i="15"/>
  <c r="E69" i="15"/>
  <c r="F69" i="15"/>
  <c r="E68" i="15"/>
  <c r="F68" i="15"/>
  <c r="D65" i="15"/>
  <c r="C65" i="15"/>
  <c r="E64" i="15"/>
  <c r="F64" i="15" s="1"/>
  <c r="E63" i="15"/>
  <c r="F63" i="15"/>
  <c r="D60" i="15"/>
  <c r="C60" i="15"/>
  <c r="E59" i="15"/>
  <c r="F59" i="15" s="1"/>
  <c r="E58" i="15"/>
  <c r="F58" i="15" s="1"/>
  <c r="D55" i="15"/>
  <c r="C55" i="15"/>
  <c r="E54" i="15"/>
  <c r="F54" i="15" s="1"/>
  <c r="E53" i="15"/>
  <c r="F53" i="15" s="1"/>
  <c r="D50" i="15"/>
  <c r="C50" i="15"/>
  <c r="E49" i="15"/>
  <c r="F49" i="15"/>
  <c r="E48" i="15"/>
  <c r="F48" i="15" s="1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C30" i="15"/>
  <c r="F29" i="15"/>
  <c r="E29" i="15"/>
  <c r="F28" i="15"/>
  <c r="E28" i="15"/>
  <c r="E27" i="15"/>
  <c r="F27" i="15" s="1"/>
  <c r="F26" i="15"/>
  <c r="E26" i="15"/>
  <c r="D23" i="15"/>
  <c r="C23" i="15"/>
  <c r="E22" i="15"/>
  <c r="F22" i="15" s="1"/>
  <c r="E21" i="15"/>
  <c r="F21" i="15" s="1"/>
  <c r="E20" i="15"/>
  <c r="F20" i="15" s="1"/>
  <c r="E19" i="15"/>
  <c r="F19" i="15" s="1"/>
  <c r="D16" i="15"/>
  <c r="C16" i="15"/>
  <c r="E16" i="15" s="1"/>
  <c r="E15" i="15"/>
  <c r="F15" i="15"/>
  <c r="E14" i="15"/>
  <c r="F14" i="15" s="1"/>
  <c r="E13" i="15"/>
  <c r="F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1" i="14" s="1"/>
  <c r="E17" i="14"/>
  <c r="E31" i="14" s="1"/>
  <c r="D17" i="14"/>
  <c r="D31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/>
  <c r="C66" i="13"/>
  <c r="C65" i="13" s="1"/>
  <c r="E60" i="13"/>
  <c r="D60" i="13"/>
  <c r="C60" i="13"/>
  <c r="E58" i="13"/>
  <c r="D58" i="13"/>
  <c r="C58" i="13"/>
  <c r="E55" i="13"/>
  <c r="E50" i="13" s="1"/>
  <c r="D55" i="13"/>
  <c r="C55" i="13"/>
  <c r="C50" i="13" s="1"/>
  <c r="E54" i="13"/>
  <c r="D54" i="13"/>
  <c r="C54" i="13"/>
  <c r="E46" i="13"/>
  <c r="E59" i="13"/>
  <c r="D46" i="13"/>
  <c r="C46" i="13"/>
  <c r="C59" i="13" s="1"/>
  <c r="C61" i="13" s="1"/>
  <c r="C57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25" i="13" s="1"/>
  <c r="E27" i="13" s="1"/>
  <c r="D13" i="13"/>
  <c r="C13" i="13"/>
  <c r="C25" i="13" s="1"/>
  <c r="C27" i="13" s="1"/>
  <c r="D47" i="12"/>
  <c r="E47" i="12" s="1"/>
  <c r="C47" i="12"/>
  <c r="E46" i="12"/>
  <c r="F46" i="12" s="1"/>
  <c r="E45" i="12"/>
  <c r="F45" i="12" s="1"/>
  <c r="D40" i="12"/>
  <c r="C40" i="12"/>
  <c r="E39" i="12"/>
  <c r="F39" i="12" s="1"/>
  <c r="E38" i="12"/>
  <c r="F38" i="12" s="1"/>
  <c r="E37" i="12"/>
  <c r="F37" i="12" s="1"/>
  <c r="D32" i="12"/>
  <c r="E32" i="12" s="1"/>
  <c r="F32" i="12" s="1"/>
  <c r="C32" i="12"/>
  <c r="E31" i="12"/>
  <c r="F31" i="12" s="1"/>
  <c r="F30" i="12"/>
  <c r="E30" i="12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F16" i="12"/>
  <c r="E16" i="12"/>
  <c r="D15" i="12"/>
  <c r="D17" i="12" s="1"/>
  <c r="C15" i="12"/>
  <c r="C17" i="12" s="1"/>
  <c r="E14" i="12"/>
  <c r="F14" i="12" s="1"/>
  <c r="F13" i="12"/>
  <c r="E13" i="12"/>
  <c r="E12" i="12"/>
  <c r="F12" i="12" s="1"/>
  <c r="F11" i="12"/>
  <c r="E11" i="12"/>
  <c r="D73" i="11"/>
  <c r="C73" i="11"/>
  <c r="E72" i="11"/>
  <c r="F72" i="11" s="1"/>
  <c r="E71" i="11"/>
  <c r="F71" i="11" s="1"/>
  <c r="E70" i="11"/>
  <c r="F70" i="11" s="1"/>
  <c r="E67" i="11"/>
  <c r="F67" i="11" s="1"/>
  <c r="E64" i="11"/>
  <c r="F64" i="11" s="1"/>
  <c r="E63" i="11"/>
  <c r="F63" i="11" s="1"/>
  <c r="D61" i="11"/>
  <c r="D65" i="11" s="1"/>
  <c r="C61" i="11"/>
  <c r="F60" i="11"/>
  <c r="E60" i="11"/>
  <c r="E59" i="11"/>
  <c r="F59" i="11" s="1"/>
  <c r="D56" i="11"/>
  <c r="C56" i="11"/>
  <c r="E55" i="11"/>
  <c r="F55" i="11" s="1"/>
  <c r="F54" i="11"/>
  <c r="E54" i="11"/>
  <c r="E53" i="11"/>
  <c r="F53" i="11" s="1"/>
  <c r="F52" i="11"/>
  <c r="E52" i="11"/>
  <c r="E51" i="11"/>
  <c r="F51" i="11" s="1"/>
  <c r="F50" i="11"/>
  <c r="E50" i="11"/>
  <c r="A50" i="11"/>
  <c r="A51" i="11" s="1"/>
  <c r="A52" i="11" s="1"/>
  <c r="A53" i="11" s="1"/>
  <c r="A54" i="11" s="1"/>
  <c r="A55" i="11" s="1"/>
  <c r="E49" i="11"/>
  <c r="F49" i="11"/>
  <c r="E40" i="11"/>
  <c r="F40" i="11" s="1"/>
  <c r="D38" i="11"/>
  <c r="D41" i="11"/>
  <c r="C38" i="11"/>
  <c r="E37" i="11"/>
  <c r="F37" i="11"/>
  <c r="E36" i="11"/>
  <c r="F36" i="11" s="1"/>
  <c r="E33" i="11"/>
  <c r="F33" i="11" s="1"/>
  <c r="E32" i="11"/>
  <c r="F32" i="11" s="1"/>
  <c r="F31" i="11"/>
  <c r="E31" i="11"/>
  <c r="D29" i="11"/>
  <c r="C29" i="11"/>
  <c r="F28" i="11"/>
  <c r="E28" i="11"/>
  <c r="E27" i="11"/>
  <c r="F27" i="11" s="1"/>
  <c r="E26" i="11"/>
  <c r="F26" i="11"/>
  <c r="E25" i="11"/>
  <c r="F25" i="11" s="1"/>
  <c r="D22" i="11"/>
  <c r="D43" i="11" s="1"/>
  <c r="C22" i="11"/>
  <c r="E21" i="11"/>
  <c r="F21" i="11" s="1"/>
  <c r="E20" i="11"/>
  <c r="F20" i="11" s="1"/>
  <c r="E19" i="11"/>
  <c r="F19" i="11"/>
  <c r="F18" i="11"/>
  <c r="E18" i="11"/>
  <c r="F17" i="11"/>
  <c r="E17" i="11"/>
  <c r="F16" i="11"/>
  <c r="E16" i="11"/>
  <c r="E15" i="11"/>
  <c r="F15" i="11"/>
  <c r="E14" i="11"/>
  <c r="F14" i="11" s="1"/>
  <c r="E13" i="11"/>
  <c r="F13" i="11" s="1"/>
  <c r="D120" i="10"/>
  <c r="C120" i="10"/>
  <c r="F120" i="10" s="1"/>
  <c r="D119" i="10"/>
  <c r="C119" i="10"/>
  <c r="F119" i="10" s="1"/>
  <c r="D118" i="10"/>
  <c r="C118" i="10"/>
  <c r="F118" i="10" s="1"/>
  <c r="D117" i="10"/>
  <c r="C117" i="10"/>
  <c r="F117" i="10" s="1"/>
  <c r="D116" i="10"/>
  <c r="C116" i="10"/>
  <c r="F116" i="10" s="1"/>
  <c r="D115" i="10"/>
  <c r="C115" i="10"/>
  <c r="F115" i="10" s="1"/>
  <c r="D114" i="10"/>
  <c r="C114" i="10"/>
  <c r="F114" i="10" s="1"/>
  <c r="D113" i="10"/>
  <c r="D122" i="10" s="1"/>
  <c r="E122" i="10" s="1"/>
  <c r="C113" i="10"/>
  <c r="F113" i="10" s="1"/>
  <c r="D112" i="10"/>
  <c r="D121" i="10" s="1"/>
  <c r="C112" i="10"/>
  <c r="F112" i="10" s="1"/>
  <c r="D108" i="10"/>
  <c r="C108" i="10"/>
  <c r="F108" i="10"/>
  <c r="D107" i="10"/>
  <c r="E107" i="10" s="1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E203" i="9" s="1"/>
  <c r="C203" i="9"/>
  <c r="D202" i="9"/>
  <c r="C202" i="9"/>
  <c r="D201" i="9"/>
  <c r="C201" i="9"/>
  <c r="D200" i="9"/>
  <c r="C200" i="9"/>
  <c r="D199" i="9"/>
  <c r="E199" i="9" s="1"/>
  <c r="C199" i="9"/>
  <c r="D198" i="9"/>
  <c r="C198" i="9"/>
  <c r="D193" i="9"/>
  <c r="E193" i="9" s="1"/>
  <c r="C193" i="9"/>
  <c r="F193" i="9" s="1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F179" i="9"/>
  <c r="D179" i="9"/>
  <c r="E179" i="9" s="1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C167" i="9"/>
  <c r="E167" i="9" s="1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E140" i="9" s="1"/>
  <c r="F140" i="9" s="1"/>
  <c r="C140" i="9"/>
  <c r="E139" i="9"/>
  <c r="F139" i="9" s="1"/>
  <c r="F138" i="9"/>
  <c r="E138" i="9"/>
  <c r="E137" i="9"/>
  <c r="F137" i="9" s="1"/>
  <c r="F136" i="9"/>
  <c r="E136" i="9"/>
  <c r="E135" i="9"/>
  <c r="F135" i="9" s="1"/>
  <c r="E134" i="9"/>
  <c r="F134" i="9" s="1"/>
  <c r="E133" i="9"/>
  <c r="F133" i="9" s="1"/>
  <c r="E132" i="9"/>
  <c r="F132" i="9" s="1"/>
  <c r="E131" i="9"/>
  <c r="F131" i="9" s="1"/>
  <c r="D128" i="9"/>
  <c r="E128" i="9" s="1"/>
  <c r="C128" i="9"/>
  <c r="D127" i="9"/>
  <c r="C127" i="9"/>
  <c r="F126" i="9"/>
  <c r="E126" i="9"/>
  <c r="E125" i="9"/>
  <c r="F125" i="9" s="1"/>
  <c r="F124" i="9"/>
  <c r="E124" i="9"/>
  <c r="E123" i="9"/>
  <c r="F123" i="9" s="1"/>
  <c r="E122" i="9"/>
  <c r="F122" i="9" s="1"/>
  <c r="E121" i="9"/>
  <c r="F121" i="9" s="1"/>
  <c r="E120" i="9"/>
  <c r="F120" i="9" s="1"/>
  <c r="E119" i="9"/>
  <c r="F119" i="9" s="1"/>
  <c r="F118" i="9"/>
  <c r="E118" i="9"/>
  <c r="D115" i="9"/>
  <c r="E115" i="9"/>
  <c r="F115" i="9"/>
  <c r="C115" i="9"/>
  <c r="D114" i="9"/>
  <c r="E114" i="9"/>
  <c r="F114" i="9" s="1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F108" i="9"/>
  <c r="E108" i="9"/>
  <c r="E107" i="9"/>
  <c r="F107" i="9" s="1"/>
  <c r="F106" i="9"/>
  <c r="E106" i="9"/>
  <c r="E105" i="9"/>
  <c r="F105" i="9" s="1"/>
  <c r="D102" i="9"/>
  <c r="C102" i="9"/>
  <c r="D101" i="9"/>
  <c r="C101" i="9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F94" i="9"/>
  <c r="E94" i="9"/>
  <c r="E93" i="9"/>
  <c r="F93" i="9" s="1"/>
  <c r="F92" i="9"/>
  <c r="E92" i="9"/>
  <c r="D89" i="9"/>
  <c r="C89" i="9"/>
  <c r="F89" i="9" s="1"/>
  <c r="F88" i="9"/>
  <c r="D88" i="9"/>
  <c r="C88" i="9"/>
  <c r="E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E74" i="9"/>
  <c r="F74" i="9" s="1"/>
  <c r="E73" i="9"/>
  <c r="F73" i="9" s="1"/>
  <c r="E72" i="9"/>
  <c r="F72" i="9" s="1"/>
  <c r="E71" i="9"/>
  <c r="F71" i="9" s="1"/>
  <c r="F70" i="9"/>
  <c r="E70" i="9"/>
  <c r="E69" i="9"/>
  <c r="F69" i="9" s="1"/>
  <c r="F68" i="9"/>
  <c r="E68" i="9"/>
  <c r="E67" i="9"/>
  <c r="F67" i="9" s="1"/>
  <c r="E66" i="9"/>
  <c r="F66" i="9" s="1"/>
  <c r="F63" i="9"/>
  <c r="D63" i="9"/>
  <c r="E63" i="9"/>
  <c r="C63" i="9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 s="1"/>
  <c r="C49" i="9"/>
  <c r="F48" i="9"/>
  <c r="E48" i="9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E40" i="9"/>
  <c r="F40" i="9" s="1"/>
  <c r="D37" i="9"/>
  <c r="C37" i="9"/>
  <c r="E37" i="9" s="1"/>
  <c r="D36" i="9"/>
  <c r="E36" i="9" s="1"/>
  <c r="F36" i="9" s="1"/>
  <c r="C36" i="9"/>
  <c r="F35" i="9"/>
  <c r="E35" i="9"/>
  <c r="F34" i="9"/>
  <c r="E34" i="9"/>
  <c r="E33" i="9"/>
  <c r="F33" i="9" s="1"/>
  <c r="F32" i="9"/>
  <c r="E32" i="9"/>
  <c r="F31" i="9"/>
  <c r="E31" i="9"/>
  <c r="E30" i="9"/>
  <c r="F30" i="9" s="1"/>
  <c r="F29" i="9"/>
  <c r="E29" i="9"/>
  <c r="F28" i="9"/>
  <c r="E28" i="9"/>
  <c r="F27" i="9"/>
  <c r="E27" i="9"/>
  <c r="D24" i="9"/>
  <c r="E24" i="9"/>
  <c r="F24" i="9"/>
  <c r="C24" i="9"/>
  <c r="D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D166" i="8" s="1"/>
  <c r="C164" i="8"/>
  <c r="C160" i="8"/>
  <c r="E162" i="8"/>
  <c r="D162" i="8"/>
  <c r="C162" i="8"/>
  <c r="E161" i="8"/>
  <c r="D161" i="8"/>
  <c r="C161" i="8"/>
  <c r="E147" i="8"/>
  <c r="E143" i="8" s="1"/>
  <c r="E149" i="8" s="1"/>
  <c r="D147" i="8"/>
  <c r="C147" i="8"/>
  <c r="C143" i="8" s="1"/>
  <c r="C149" i="8" s="1"/>
  <c r="E145" i="8"/>
  <c r="D145" i="8"/>
  <c r="D149" i="8" s="1"/>
  <c r="C145" i="8"/>
  <c r="E144" i="8"/>
  <c r="D144" i="8"/>
  <c r="C144" i="8"/>
  <c r="D143" i="8"/>
  <c r="E126" i="8"/>
  <c r="D126" i="8"/>
  <c r="C126" i="8"/>
  <c r="E119" i="8"/>
  <c r="D119" i="8"/>
  <c r="C119" i="8"/>
  <c r="E108" i="8"/>
  <c r="D108" i="8"/>
  <c r="C108" i="8"/>
  <c r="E107" i="8"/>
  <c r="D107" i="8"/>
  <c r="D109" i="8" s="1"/>
  <c r="D106" i="8" s="1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D79" i="8" s="1"/>
  <c r="C84" i="8"/>
  <c r="C79" i="8" s="1"/>
  <c r="E83" i="8"/>
  <c r="D83" i="8"/>
  <c r="C83" i="8"/>
  <c r="E79" i="8"/>
  <c r="E75" i="8"/>
  <c r="E88" i="8" s="1"/>
  <c r="D75" i="8"/>
  <c r="C75" i="8"/>
  <c r="C88" i="8" s="1"/>
  <c r="C90" i="8" s="1"/>
  <c r="E74" i="8"/>
  <c r="D74" i="8"/>
  <c r="C74" i="8"/>
  <c r="E67" i="8"/>
  <c r="D67" i="8"/>
  <c r="C67" i="8"/>
  <c r="E38" i="8"/>
  <c r="E53" i="8" s="1"/>
  <c r="E57" i="8"/>
  <c r="E62" i="8" s="1"/>
  <c r="D38" i="8"/>
  <c r="D53" i="8" s="1"/>
  <c r="C38" i="8"/>
  <c r="C53" i="8" s="1"/>
  <c r="E33" i="8"/>
  <c r="E34" i="8"/>
  <c r="D33" i="8"/>
  <c r="D34" i="8" s="1"/>
  <c r="E26" i="8"/>
  <c r="D26" i="8"/>
  <c r="C26" i="8"/>
  <c r="E13" i="8"/>
  <c r="E25" i="8" s="1"/>
  <c r="D13" i="8"/>
  <c r="C13" i="8"/>
  <c r="C25" i="8" s="1"/>
  <c r="C27" i="8"/>
  <c r="F186" i="7"/>
  <c r="E186" i="7"/>
  <c r="D183" i="7"/>
  <c r="E183" i="7" s="1"/>
  <c r="C183" i="7"/>
  <c r="F182" i="7"/>
  <c r="E182" i="7"/>
  <c r="E181" i="7"/>
  <c r="F181" i="7" s="1"/>
  <c r="F180" i="7"/>
  <c r="E180" i="7"/>
  <c r="F179" i="7"/>
  <c r="E179" i="7"/>
  <c r="F178" i="7"/>
  <c r="E178" i="7"/>
  <c r="E177" i="7"/>
  <c r="F177" i="7" s="1"/>
  <c r="F176" i="7"/>
  <c r="E176" i="7"/>
  <c r="E175" i="7"/>
  <c r="F175" i="7" s="1"/>
  <c r="E174" i="7"/>
  <c r="F174" i="7" s="1"/>
  <c r="E173" i="7"/>
  <c r="F173" i="7" s="1"/>
  <c r="F172" i="7"/>
  <c r="E172" i="7"/>
  <c r="F171" i="7"/>
  <c r="E171" i="7"/>
  <c r="F170" i="7"/>
  <c r="E170" i="7"/>
  <c r="D167" i="7"/>
  <c r="C167" i="7"/>
  <c r="E166" i="7"/>
  <c r="F166" i="7" s="1"/>
  <c r="F165" i="7"/>
  <c r="E165" i="7"/>
  <c r="F164" i="7"/>
  <c r="E164" i="7"/>
  <c r="E163" i="7"/>
  <c r="F163" i="7" s="1"/>
  <c r="E162" i="7"/>
  <c r="F162" i="7" s="1"/>
  <c r="F161" i="7"/>
  <c r="E161" i="7"/>
  <c r="F160" i="7"/>
  <c r="E160" i="7"/>
  <c r="E159" i="7"/>
  <c r="F159" i="7" s="1"/>
  <c r="F158" i="7"/>
  <c r="E158" i="7"/>
  <c r="F157" i="7"/>
  <c r="E157" i="7"/>
  <c r="F156" i="7"/>
  <c r="E156" i="7"/>
  <c r="E155" i="7"/>
  <c r="F155" i="7" s="1"/>
  <c r="F154" i="7"/>
  <c r="E154" i="7"/>
  <c r="F153" i="7"/>
  <c r="E153" i="7"/>
  <c r="F152" i="7"/>
  <c r="E152" i="7"/>
  <c r="E151" i="7"/>
  <c r="F151" i="7" s="1"/>
  <c r="E150" i="7"/>
  <c r="F150" i="7" s="1"/>
  <c r="F149" i="7"/>
  <c r="E149" i="7"/>
  <c r="F148" i="7"/>
  <c r="E148" i="7"/>
  <c r="E147" i="7"/>
  <c r="F147" i="7" s="1"/>
  <c r="E146" i="7"/>
  <c r="F146" i="7" s="1"/>
  <c r="F145" i="7"/>
  <c r="E145" i="7"/>
  <c r="F144" i="7"/>
  <c r="E144" i="7"/>
  <c r="E143" i="7"/>
  <c r="F143" i="7" s="1"/>
  <c r="E142" i="7"/>
  <c r="F142" i="7" s="1"/>
  <c r="F141" i="7"/>
  <c r="E141" i="7"/>
  <c r="F140" i="7"/>
  <c r="E140" i="7"/>
  <c r="E139" i="7"/>
  <c r="F139" i="7" s="1"/>
  <c r="E138" i="7"/>
  <c r="F138" i="7" s="1"/>
  <c r="F137" i="7"/>
  <c r="E137" i="7"/>
  <c r="F136" i="7"/>
  <c r="E136" i="7"/>
  <c r="E135" i="7"/>
  <c r="F135" i="7" s="1"/>
  <c r="E134" i="7"/>
  <c r="F134" i="7" s="1"/>
  <c r="F133" i="7"/>
  <c r="E133" i="7"/>
  <c r="D130" i="7"/>
  <c r="E130" i="7" s="1"/>
  <c r="F130" i="7" s="1"/>
  <c r="C130" i="7"/>
  <c r="E129" i="7"/>
  <c r="F129" i="7" s="1"/>
  <c r="E128" i="7"/>
  <c r="F128" i="7" s="1"/>
  <c r="F127" i="7"/>
  <c r="E127" i="7"/>
  <c r="F126" i="7"/>
  <c r="E126" i="7"/>
  <c r="E125" i="7"/>
  <c r="F125" i="7" s="1"/>
  <c r="E124" i="7"/>
  <c r="F124" i="7" s="1"/>
  <c r="D121" i="7"/>
  <c r="E121" i="7" s="1"/>
  <c r="F121" i="7" s="1"/>
  <c r="C121" i="7"/>
  <c r="F120" i="7"/>
  <c r="E120" i="7"/>
  <c r="E119" i="7"/>
  <c r="F119" i="7" s="1"/>
  <c r="E118" i="7"/>
  <c r="F118" i="7" s="1"/>
  <c r="F117" i="7"/>
  <c r="E117" i="7"/>
  <c r="F116" i="7"/>
  <c r="E116" i="7"/>
  <c r="E115" i="7"/>
  <c r="F115" i="7" s="1"/>
  <c r="E114" i="7"/>
  <c r="F114" i="7" s="1"/>
  <c r="F113" i="7"/>
  <c r="E113" i="7"/>
  <c r="F112" i="7"/>
  <c r="E112" i="7"/>
  <c r="F111" i="7"/>
  <c r="E111" i="7"/>
  <c r="E110" i="7"/>
  <c r="F110" i="7" s="1"/>
  <c r="F109" i="7"/>
  <c r="E109" i="7"/>
  <c r="F108" i="7"/>
  <c r="E108" i="7"/>
  <c r="E107" i="7"/>
  <c r="F107" i="7" s="1"/>
  <c r="E106" i="7"/>
  <c r="F106" i="7" s="1"/>
  <c r="F105" i="7"/>
  <c r="E105" i="7"/>
  <c r="F104" i="7"/>
  <c r="E104" i="7"/>
  <c r="E103" i="7"/>
  <c r="F103" i="7" s="1"/>
  <c r="E93" i="7"/>
  <c r="F93" i="7" s="1"/>
  <c r="D90" i="7"/>
  <c r="E90" i="7" s="1"/>
  <c r="F90" i="7" s="1"/>
  <c r="C90" i="7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F78" i="7"/>
  <c r="E78" i="7"/>
  <c r="E77" i="7"/>
  <c r="F77" i="7" s="1"/>
  <c r="F76" i="7"/>
  <c r="E76" i="7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F69" i="7"/>
  <c r="E69" i="7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30" i="7" s="1"/>
  <c r="E29" i="7"/>
  <c r="F29" i="7" s="1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C18" i="7"/>
  <c r="E17" i="7"/>
  <c r="F17" i="7" s="1"/>
  <c r="E16" i="7"/>
  <c r="F16" i="7" s="1"/>
  <c r="E15" i="7"/>
  <c r="F15" i="7" s="1"/>
  <c r="D179" i="6"/>
  <c r="E179" i="6"/>
  <c r="C179" i="6"/>
  <c r="E178" i="6"/>
  <c r="F178" i="6" s="1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E166" i="6" s="1"/>
  <c r="E165" i="6"/>
  <c r="F165" i="6" s="1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E153" i="6" s="1"/>
  <c r="C153" i="6"/>
  <c r="E152" i="6"/>
  <c r="F152" i="6" s="1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C137" i="6"/>
  <c r="E136" i="6"/>
  <c r="F136" i="6" s="1"/>
  <c r="F135" i="6"/>
  <c r="E135" i="6"/>
  <c r="E134" i="6"/>
  <c r="F134" i="6" s="1"/>
  <c r="E133" i="6"/>
  <c r="F133" i="6" s="1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E124" i="6"/>
  <c r="C124" i="6"/>
  <c r="E123" i="6"/>
  <c r="F123" i="6" s="1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E111" i="6" s="1"/>
  <c r="E110" i="6"/>
  <c r="F110" i="6" s="1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D93" i="6"/>
  <c r="C93" i="6"/>
  <c r="F93" i="6" s="1"/>
  <c r="D92" i="6"/>
  <c r="C92" i="6"/>
  <c r="D91" i="6"/>
  <c r="C91" i="6"/>
  <c r="D90" i="6"/>
  <c r="E90" i="6"/>
  <c r="C90" i="6"/>
  <c r="D89" i="6"/>
  <c r="E89" i="6"/>
  <c r="C89" i="6"/>
  <c r="D88" i="6"/>
  <c r="E88" i="6"/>
  <c r="C88" i="6"/>
  <c r="D87" i="6"/>
  <c r="C87" i="6"/>
  <c r="F87" i="6" s="1"/>
  <c r="D86" i="6"/>
  <c r="E86" i="6"/>
  <c r="C86" i="6"/>
  <c r="D85" i="6"/>
  <c r="E85" i="6"/>
  <c r="C85" i="6"/>
  <c r="D84" i="6"/>
  <c r="C84" i="6"/>
  <c r="D81" i="6"/>
  <c r="C81" i="6"/>
  <c r="E80" i="6"/>
  <c r="F80" i="6" s="1"/>
  <c r="F79" i="6"/>
  <c r="E79" i="6"/>
  <c r="F78" i="6"/>
  <c r="E78" i="6"/>
  <c r="E77" i="6"/>
  <c r="F77" i="6" s="1"/>
  <c r="F76" i="6"/>
  <c r="E76" i="6"/>
  <c r="E75" i="6"/>
  <c r="F75" i="6" s="1"/>
  <c r="E74" i="6"/>
  <c r="F74" i="6" s="1"/>
  <c r="F73" i="6"/>
  <c r="E73" i="6"/>
  <c r="F72" i="6"/>
  <c r="E72" i="6"/>
  <c r="E71" i="6"/>
  <c r="F71" i="6" s="1"/>
  <c r="E70" i="6"/>
  <c r="F70" i="6" s="1"/>
  <c r="D68" i="6"/>
  <c r="E68" i="6" s="1"/>
  <c r="F68" i="6" s="1"/>
  <c r="C68" i="6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F61" i="6"/>
  <c r="E61" i="6"/>
  <c r="F60" i="6"/>
  <c r="E60" i="6"/>
  <c r="E59" i="6"/>
  <c r="F59" i="6" s="1"/>
  <c r="E58" i="6"/>
  <c r="F58" i="6" s="1"/>
  <c r="E57" i="6"/>
  <c r="F57" i="6" s="1"/>
  <c r="D51" i="6"/>
  <c r="C51" i="6"/>
  <c r="D50" i="6"/>
  <c r="C50" i="6"/>
  <c r="D49" i="6"/>
  <c r="C49" i="6"/>
  <c r="D48" i="6"/>
  <c r="E48" i="6" s="1"/>
  <c r="C48" i="6"/>
  <c r="D47" i="6"/>
  <c r="E47" i="6" s="1"/>
  <c r="F47" i="6" s="1"/>
  <c r="C47" i="6"/>
  <c r="D46" i="6"/>
  <c r="C46" i="6"/>
  <c r="D45" i="6"/>
  <c r="E45" i="6" s="1"/>
  <c r="F45" i="6" s="1"/>
  <c r="C45" i="6"/>
  <c r="F44" i="6"/>
  <c r="D44" i="6"/>
  <c r="C44" i="6"/>
  <c r="E44" i="6" s="1"/>
  <c r="D43" i="6"/>
  <c r="E43" i="6" s="1"/>
  <c r="F43" i="6" s="1"/>
  <c r="C43" i="6"/>
  <c r="D42" i="6"/>
  <c r="E42" i="6" s="1"/>
  <c r="C42" i="6"/>
  <c r="D41" i="6"/>
  <c r="C41" i="6"/>
  <c r="C52" i="6" s="1"/>
  <c r="D38" i="6"/>
  <c r="C38" i="6"/>
  <c r="E37" i="6"/>
  <c r="F37" i="6" s="1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E48" i="5" s="1"/>
  <c r="F48" i="5" s="1"/>
  <c r="C48" i="5"/>
  <c r="E47" i="5"/>
  <c r="F47" i="5" s="1"/>
  <c r="E46" i="5"/>
  <c r="F46" i="5" s="1"/>
  <c r="D41" i="5"/>
  <c r="C41" i="5"/>
  <c r="E40" i="5"/>
  <c r="F40" i="5" s="1"/>
  <c r="E39" i="5"/>
  <c r="F39" i="5" s="1"/>
  <c r="E38" i="5"/>
  <c r="F38" i="5" s="1"/>
  <c r="D33" i="5"/>
  <c r="E33" i="5" s="1"/>
  <c r="C33" i="5"/>
  <c r="F32" i="5"/>
  <c r="E32" i="5"/>
  <c r="E31" i="5"/>
  <c r="F31" i="5" s="1"/>
  <c r="E30" i="5"/>
  <c r="F30" i="5" s="1"/>
  <c r="F29" i="5"/>
  <c r="E29" i="5"/>
  <c r="F28" i="5"/>
  <c r="E28" i="5"/>
  <c r="E27" i="5"/>
  <c r="F27" i="5" s="1"/>
  <c r="E26" i="5"/>
  <c r="F26" i="5" s="1"/>
  <c r="E25" i="5"/>
  <c r="F25" i="5" s="1"/>
  <c r="E24" i="5"/>
  <c r="F24" i="5" s="1"/>
  <c r="F20" i="5"/>
  <c r="E20" i="5"/>
  <c r="F19" i="5"/>
  <c r="E19" i="5"/>
  <c r="E17" i="5"/>
  <c r="F17" i="5" s="1"/>
  <c r="D16" i="5"/>
  <c r="D18" i="5" s="1"/>
  <c r="C16" i="5"/>
  <c r="E15" i="5"/>
  <c r="F15" i="5" s="1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/>
  <c r="D61" i="4"/>
  <c r="D65" i="4" s="1"/>
  <c r="C61" i="4"/>
  <c r="F60" i="4"/>
  <c r="E60" i="4"/>
  <c r="E59" i="4"/>
  <c r="F59" i="4" s="1"/>
  <c r="D56" i="4"/>
  <c r="D75" i="4" s="1"/>
  <c r="C56" i="4"/>
  <c r="E55" i="4"/>
  <c r="F55" i="4" s="1"/>
  <c r="F54" i="4"/>
  <c r="E54" i="4"/>
  <c r="E53" i="4"/>
  <c r="F53" i="4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/>
  <c r="D38" i="4"/>
  <c r="D41" i="4" s="1"/>
  <c r="C38" i="4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E29" i="4" s="1"/>
  <c r="F29" i="4" s="1"/>
  <c r="F28" i="4"/>
  <c r="E28" i="4"/>
  <c r="F27" i="4"/>
  <c r="E27" i="4"/>
  <c r="E26" i="4"/>
  <c r="F26" i="4" s="1"/>
  <c r="F25" i="4"/>
  <c r="E25" i="4"/>
  <c r="D22" i="4"/>
  <c r="C22" i="4"/>
  <c r="E21" i="4"/>
  <c r="F21" i="4" s="1"/>
  <c r="E20" i="4"/>
  <c r="F20" i="4" s="1"/>
  <c r="E19" i="4"/>
  <c r="F19" i="4" s="1"/>
  <c r="F18" i="4"/>
  <c r="E18" i="4"/>
  <c r="F17" i="4"/>
  <c r="E17" i="4"/>
  <c r="F16" i="4"/>
  <c r="E16" i="4"/>
  <c r="E15" i="4"/>
  <c r="F15" i="4" s="1"/>
  <c r="E14" i="4"/>
  <c r="F14" i="4" s="1"/>
  <c r="E13" i="4"/>
  <c r="F13" i="4" s="1"/>
  <c r="E109" i="22"/>
  <c r="E108" i="22"/>
  <c r="D22" i="22"/>
  <c r="E23" i="22"/>
  <c r="D33" i="22"/>
  <c r="E34" i="22"/>
  <c r="D101" i="22"/>
  <c r="E102" i="22"/>
  <c r="E103" i="22" s="1"/>
  <c r="E22" i="22"/>
  <c r="D23" i="22"/>
  <c r="E77" i="17"/>
  <c r="D192" i="17"/>
  <c r="E192" i="17"/>
  <c r="F192" i="17" s="1"/>
  <c r="D280" i="17"/>
  <c r="C40" i="20"/>
  <c r="E43" i="20"/>
  <c r="C46" i="20"/>
  <c r="D277" i="17"/>
  <c r="D285" i="17"/>
  <c r="C49" i="19"/>
  <c r="D283" i="18"/>
  <c r="D22" i="18"/>
  <c r="E21" i="18"/>
  <c r="C33" i="18"/>
  <c r="E36" i="18"/>
  <c r="D43" i="18"/>
  <c r="D44" i="18" s="1"/>
  <c r="E54" i="18"/>
  <c r="C289" i="18"/>
  <c r="E289" i="18" s="1"/>
  <c r="C71" i="18"/>
  <c r="C65" i="18"/>
  <c r="E60" i="18"/>
  <c r="E70" i="18"/>
  <c r="C175" i="18"/>
  <c r="C144" i="18"/>
  <c r="E139" i="18"/>
  <c r="C163" i="18"/>
  <c r="E163" i="18" s="1"/>
  <c r="C189" i="18"/>
  <c r="C211" i="18"/>
  <c r="C235" i="18" s="1"/>
  <c r="C234" i="18"/>
  <c r="E240" i="18"/>
  <c r="C283" i="18"/>
  <c r="C284" i="18"/>
  <c r="E55" i="18"/>
  <c r="D145" i="18"/>
  <c r="D156" i="18"/>
  <c r="E151" i="18"/>
  <c r="E320" i="18"/>
  <c r="C303" i="18"/>
  <c r="C306" i="18" s="1"/>
  <c r="C310" i="18" s="1"/>
  <c r="E316" i="18"/>
  <c r="D199" i="17"/>
  <c r="D274" i="17"/>
  <c r="D300" i="17"/>
  <c r="D283" i="17"/>
  <c r="D290" i="17"/>
  <c r="D261" i="18"/>
  <c r="E261" i="18" s="1"/>
  <c r="D189" i="18"/>
  <c r="E188" i="18"/>
  <c r="E195" i="18"/>
  <c r="D210" i="18"/>
  <c r="E205" i="18"/>
  <c r="E215" i="18"/>
  <c r="E218" i="18"/>
  <c r="D217" i="18"/>
  <c r="E221" i="18"/>
  <c r="E231" i="18"/>
  <c r="C253" i="18"/>
  <c r="D242" i="18"/>
  <c r="E251" i="18"/>
  <c r="E314" i="18"/>
  <c r="D326" i="18"/>
  <c r="C222" i="18"/>
  <c r="E24" i="17"/>
  <c r="F24" i="17" s="1"/>
  <c r="E30" i="17"/>
  <c r="F30" i="17" s="1"/>
  <c r="E36" i="17"/>
  <c r="F36" i="17" s="1"/>
  <c r="E47" i="17"/>
  <c r="F47" i="17" s="1"/>
  <c r="E58" i="17"/>
  <c r="F58" i="17" s="1"/>
  <c r="C61" i="17"/>
  <c r="E66" i="17"/>
  <c r="F66" i="17" s="1"/>
  <c r="C68" i="17"/>
  <c r="E68" i="17" s="1"/>
  <c r="F68" i="17" s="1"/>
  <c r="E76" i="17"/>
  <c r="F76" i="17"/>
  <c r="E20" i="17"/>
  <c r="F20" i="17"/>
  <c r="E23" i="17"/>
  <c r="F23" i="17"/>
  <c r="E29" i="17"/>
  <c r="F29" i="17" s="1"/>
  <c r="D175" i="17"/>
  <c r="D62" i="17"/>
  <c r="C31" i="17"/>
  <c r="E35" i="17"/>
  <c r="F35" i="17" s="1"/>
  <c r="C37" i="17"/>
  <c r="D160" i="17"/>
  <c r="C48" i="17"/>
  <c r="E53" i="17"/>
  <c r="F53" i="17" s="1"/>
  <c r="E59" i="17"/>
  <c r="F59" i="17"/>
  <c r="E60" i="17"/>
  <c r="F60" i="17"/>
  <c r="E61" i="17"/>
  <c r="E67" i="17"/>
  <c r="F67" i="17" s="1"/>
  <c r="D89" i="17"/>
  <c r="E89" i="17" s="1"/>
  <c r="F89" i="17" s="1"/>
  <c r="D102" i="17"/>
  <c r="D111" i="17"/>
  <c r="E111" i="17" s="1"/>
  <c r="F111" i="17" s="1"/>
  <c r="D124" i="17"/>
  <c r="D125" i="17" s="1"/>
  <c r="D137" i="17"/>
  <c r="D146" i="17"/>
  <c r="E146" i="17" s="1"/>
  <c r="F146" i="17" s="1"/>
  <c r="E155" i="17"/>
  <c r="F155" i="17" s="1"/>
  <c r="E165" i="17"/>
  <c r="F165" i="17" s="1"/>
  <c r="E171" i="17"/>
  <c r="F171" i="17" s="1"/>
  <c r="E180" i="17"/>
  <c r="F180" i="17"/>
  <c r="D268" i="17"/>
  <c r="C278" i="17"/>
  <c r="E189" i="17"/>
  <c r="F189" i="17" s="1"/>
  <c r="C290" i="17"/>
  <c r="E290" i="17" s="1"/>
  <c r="F290" i="17" s="1"/>
  <c r="C274" i="17"/>
  <c r="E198" i="17"/>
  <c r="F198" i="17" s="1"/>
  <c r="C285" i="17"/>
  <c r="E204" i="17"/>
  <c r="F204" i="17" s="1"/>
  <c r="E226" i="17"/>
  <c r="F226" i="17" s="1"/>
  <c r="E229" i="17"/>
  <c r="F229" i="17" s="1"/>
  <c r="E237" i="17"/>
  <c r="F237" i="17" s="1"/>
  <c r="C239" i="17"/>
  <c r="C306" i="17"/>
  <c r="E250" i="17"/>
  <c r="F250" i="17" s="1"/>
  <c r="D271" i="17"/>
  <c r="D21" i="17"/>
  <c r="E123" i="17"/>
  <c r="F123" i="17" s="1"/>
  <c r="E158" i="17"/>
  <c r="F158" i="17" s="1"/>
  <c r="E164" i="17"/>
  <c r="F164" i="17" s="1"/>
  <c r="E170" i="17"/>
  <c r="F170" i="17" s="1"/>
  <c r="C172" i="17"/>
  <c r="E179" i="17"/>
  <c r="F179" i="17"/>
  <c r="C181" i="17"/>
  <c r="C277" i="17"/>
  <c r="E277" i="17" s="1"/>
  <c r="F277" i="17" s="1"/>
  <c r="E188" i="17"/>
  <c r="F188" i="17" s="1"/>
  <c r="C190" i="17"/>
  <c r="C280" i="17"/>
  <c r="E191" i="17"/>
  <c r="F191" i="17"/>
  <c r="C199" i="17"/>
  <c r="C200" i="17"/>
  <c r="C283" i="17"/>
  <c r="C284" i="17" s="1"/>
  <c r="E203" i="17"/>
  <c r="F203" i="17" s="1"/>
  <c r="C205" i="17"/>
  <c r="C206" i="17"/>
  <c r="C214" i="17"/>
  <c r="C304" i="17" s="1"/>
  <c r="C215" i="17"/>
  <c r="E223" i="17"/>
  <c r="F223" i="17" s="1"/>
  <c r="C227" i="17"/>
  <c r="E230" i="17"/>
  <c r="F230" i="17" s="1"/>
  <c r="E238" i="17"/>
  <c r="F238" i="17" s="1"/>
  <c r="C254" i="17"/>
  <c r="C255" i="17"/>
  <c r="C261" i="17"/>
  <c r="C262" i="17"/>
  <c r="C264" i="17"/>
  <c r="E264" i="17" s="1"/>
  <c r="C267" i="17"/>
  <c r="C269" i="17"/>
  <c r="E306" i="17"/>
  <c r="D190" i="17"/>
  <c r="E190" i="17"/>
  <c r="D193" i="17"/>
  <c r="D282" i="17" s="1"/>
  <c r="D200" i="17"/>
  <c r="E200" i="17" s="1"/>
  <c r="F200" i="17" s="1"/>
  <c r="D205" i="17"/>
  <c r="D206" i="17"/>
  <c r="E206" i="17" s="1"/>
  <c r="F206" i="17" s="1"/>
  <c r="D214" i="17"/>
  <c r="D215" i="17"/>
  <c r="E307" i="17"/>
  <c r="F307" i="17"/>
  <c r="E311" i="17"/>
  <c r="E14" i="16"/>
  <c r="F14" i="16" s="1"/>
  <c r="E19" i="16"/>
  <c r="F19" i="16" s="1"/>
  <c r="E23" i="16"/>
  <c r="F23" i="16" s="1"/>
  <c r="F30" i="15"/>
  <c r="F75" i="15"/>
  <c r="E23" i="15"/>
  <c r="F23" i="15" s="1"/>
  <c r="E30" i="15"/>
  <c r="E37" i="15"/>
  <c r="F37" i="15" s="1"/>
  <c r="E45" i="15"/>
  <c r="F45" i="15" s="1"/>
  <c r="E50" i="15"/>
  <c r="F50" i="15" s="1"/>
  <c r="E55" i="15"/>
  <c r="F55" i="15" s="1"/>
  <c r="E60" i="15"/>
  <c r="E65" i="15"/>
  <c r="F65" i="15" s="1"/>
  <c r="E70" i="15"/>
  <c r="F70" i="15"/>
  <c r="E75" i="15"/>
  <c r="E92" i="15"/>
  <c r="F92" i="15" s="1"/>
  <c r="E100" i="15"/>
  <c r="F100" i="15" s="1"/>
  <c r="E107" i="15"/>
  <c r="F107" i="15" s="1"/>
  <c r="I31" i="14"/>
  <c r="H31" i="14"/>
  <c r="I17" i="14"/>
  <c r="C33" i="14"/>
  <c r="C36" i="14" s="1"/>
  <c r="C38" i="14" s="1"/>
  <c r="C40" i="14" s="1"/>
  <c r="E33" i="14"/>
  <c r="E36" i="14" s="1"/>
  <c r="E38" i="14"/>
  <c r="E40" i="14" s="1"/>
  <c r="G33" i="14"/>
  <c r="H17" i="14"/>
  <c r="C21" i="13"/>
  <c r="E21" i="13"/>
  <c r="C15" i="13"/>
  <c r="C24" i="13" s="1"/>
  <c r="C20" i="13" s="1"/>
  <c r="E15" i="13"/>
  <c r="C48" i="13"/>
  <c r="C42" i="13"/>
  <c r="E48" i="13"/>
  <c r="E42" i="13" s="1"/>
  <c r="C20" i="12"/>
  <c r="D20" i="12"/>
  <c r="E17" i="12"/>
  <c r="F17" i="12"/>
  <c r="E15" i="12"/>
  <c r="F15" i="12"/>
  <c r="D75" i="11"/>
  <c r="F73" i="11"/>
  <c r="E22" i="11"/>
  <c r="F22" i="11" s="1"/>
  <c r="E29" i="11"/>
  <c r="F29" i="11"/>
  <c r="E38" i="11"/>
  <c r="F38" i="11" s="1"/>
  <c r="C41" i="11"/>
  <c r="C43" i="11" s="1"/>
  <c r="E56" i="11"/>
  <c r="F56" i="11" s="1"/>
  <c r="E61" i="11"/>
  <c r="F61" i="11" s="1"/>
  <c r="C65" i="11"/>
  <c r="E73" i="11"/>
  <c r="C75" i="11"/>
  <c r="E23" i="10"/>
  <c r="E24" i="10"/>
  <c r="E35" i="10"/>
  <c r="E36" i="10"/>
  <c r="E47" i="10"/>
  <c r="E48" i="10"/>
  <c r="E59" i="10"/>
  <c r="E60" i="10"/>
  <c r="E71" i="10"/>
  <c r="E72" i="10"/>
  <c r="E83" i="10"/>
  <c r="E84" i="10"/>
  <c r="E96" i="10"/>
  <c r="E108" i="10"/>
  <c r="E112" i="10"/>
  <c r="E114" i="10"/>
  <c r="E115" i="10"/>
  <c r="E116" i="10"/>
  <c r="E117" i="10"/>
  <c r="E118" i="10"/>
  <c r="E119" i="10"/>
  <c r="E120" i="10"/>
  <c r="C121" i="10"/>
  <c r="E121" i="10" s="1"/>
  <c r="F121" i="10"/>
  <c r="C122" i="10"/>
  <c r="F122" i="10"/>
  <c r="D207" i="9"/>
  <c r="D208" i="9"/>
  <c r="C21" i="8"/>
  <c r="D139" i="8"/>
  <c r="D137" i="8"/>
  <c r="D135" i="8"/>
  <c r="D141" i="8" s="1"/>
  <c r="D140" i="8"/>
  <c r="D138" i="8"/>
  <c r="D136" i="8"/>
  <c r="D156" i="8"/>
  <c r="D154" i="8"/>
  <c r="D152" i="8"/>
  <c r="D157" i="8"/>
  <c r="D155" i="8"/>
  <c r="D153" i="8"/>
  <c r="C139" i="8"/>
  <c r="E140" i="8"/>
  <c r="E138" i="8"/>
  <c r="E136" i="8"/>
  <c r="E139" i="8"/>
  <c r="E137" i="8"/>
  <c r="E135" i="8"/>
  <c r="D49" i="8"/>
  <c r="D57" i="8"/>
  <c r="D62" i="8" s="1"/>
  <c r="C15" i="8"/>
  <c r="E15" i="8"/>
  <c r="D43" i="8"/>
  <c r="C49" i="8"/>
  <c r="E49" i="8"/>
  <c r="C77" i="8"/>
  <c r="C71" i="8" s="1"/>
  <c r="E77" i="8"/>
  <c r="E71" i="8" s="1"/>
  <c r="D95" i="7"/>
  <c r="D188" i="7"/>
  <c r="E41" i="6"/>
  <c r="F41" i="6" s="1"/>
  <c r="E84" i="6"/>
  <c r="F84" i="6" s="1"/>
  <c r="D21" i="5"/>
  <c r="E16" i="5"/>
  <c r="F16" i="5" s="1"/>
  <c r="C18" i="5"/>
  <c r="E38" i="4"/>
  <c r="F38" i="4" s="1"/>
  <c r="C41" i="4"/>
  <c r="E41" i="4" s="1"/>
  <c r="E56" i="4"/>
  <c r="F56" i="4" s="1"/>
  <c r="E61" i="4"/>
  <c r="F61" i="4" s="1"/>
  <c r="C65" i="4"/>
  <c r="E73" i="4"/>
  <c r="F73" i="4" s="1"/>
  <c r="D54" i="22"/>
  <c r="D46" i="22"/>
  <c r="D40" i="22"/>
  <c r="D36" i="22"/>
  <c r="D30" i="22"/>
  <c r="D111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D266" i="17"/>
  <c r="E40" i="20"/>
  <c r="F40" i="20" s="1"/>
  <c r="F43" i="20"/>
  <c r="D287" i="17"/>
  <c r="D284" i="17"/>
  <c r="E326" i="18"/>
  <c r="D330" i="18"/>
  <c r="E330" i="18" s="1"/>
  <c r="E156" i="18"/>
  <c r="D168" i="18"/>
  <c r="D157" i="18"/>
  <c r="E157" i="18" s="1"/>
  <c r="D96" i="18"/>
  <c r="D99" i="18"/>
  <c r="D97" i="18"/>
  <c r="C168" i="18"/>
  <c r="C180" i="18"/>
  <c r="C145" i="18"/>
  <c r="E43" i="18"/>
  <c r="D284" i="18"/>
  <c r="E284" i="18" s="1"/>
  <c r="E22" i="18"/>
  <c r="D90" i="17"/>
  <c r="D234" i="18"/>
  <c r="E234" i="18" s="1"/>
  <c r="E210" i="18"/>
  <c r="D211" i="18"/>
  <c r="E189" i="18"/>
  <c r="E144" i="18"/>
  <c r="D180" i="18"/>
  <c r="C223" i="18"/>
  <c r="E283" i="18"/>
  <c r="D255" i="17"/>
  <c r="E255" i="17"/>
  <c r="F255" i="17" s="1"/>
  <c r="E215" i="17"/>
  <c r="F215" i="17" s="1"/>
  <c r="E269" i="17"/>
  <c r="F269" i="17"/>
  <c r="C263" i="17"/>
  <c r="E199" i="17"/>
  <c r="F199" i="17" s="1"/>
  <c r="F190" i="17"/>
  <c r="E261" i="17"/>
  <c r="F261" i="17"/>
  <c r="C288" i="17"/>
  <c r="D103" i="17"/>
  <c r="D63" i="17"/>
  <c r="F61" i="17"/>
  <c r="D254" i="17"/>
  <c r="D216" i="17"/>
  <c r="E214" i="17"/>
  <c r="F214" i="17" s="1"/>
  <c r="D194" i="17"/>
  <c r="E274" i="17"/>
  <c r="F274" i="17" s="1"/>
  <c r="C272" i="17"/>
  <c r="E227" i="17"/>
  <c r="F227" i="17"/>
  <c r="C216" i="17"/>
  <c r="E216" i="17" s="1"/>
  <c r="F216" i="17" s="1"/>
  <c r="C279" i="17"/>
  <c r="D161" i="17"/>
  <c r="D49" i="17"/>
  <c r="D50" i="17" s="1"/>
  <c r="D91" i="17"/>
  <c r="E21" i="17"/>
  <c r="F21" i="17" s="1"/>
  <c r="D304" i="17"/>
  <c r="C90" i="17"/>
  <c r="C160" i="17"/>
  <c r="E160" i="17" s="1"/>
  <c r="F160" i="17" s="1"/>
  <c r="E48" i="17"/>
  <c r="F48" i="17"/>
  <c r="C32" i="17"/>
  <c r="E31" i="17"/>
  <c r="F31" i="17"/>
  <c r="D176" i="17"/>
  <c r="E181" i="17"/>
  <c r="F181" i="17" s="1"/>
  <c r="E37" i="17"/>
  <c r="F37" i="17"/>
  <c r="G36" i="14"/>
  <c r="G38" i="14" s="1"/>
  <c r="G40" i="14" s="1"/>
  <c r="I33" i="14"/>
  <c r="I36" i="14" s="1"/>
  <c r="I38" i="14" s="1"/>
  <c r="I40" i="14" s="1"/>
  <c r="C17" i="13"/>
  <c r="C28" i="13" s="1"/>
  <c r="E24" i="13"/>
  <c r="E20" i="13" s="1"/>
  <c r="E17" i="13"/>
  <c r="E28" i="13" s="1"/>
  <c r="C34" i="12"/>
  <c r="D34" i="12"/>
  <c r="E34" i="12" s="1"/>
  <c r="F34" i="12" s="1"/>
  <c r="E20" i="12"/>
  <c r="F20" i="12"/>
  <c r="E75" i="11"/>
  <c r="E65" i="11"/>
  <c r="F65" i="11" s="1"/>
  <c r="E24" i="8"/>
  <c r="E17" i="8"/>
  <c r="C24" i="8"/>
  <c r="C20" i="8" s="1"/>
  <c r="C17" i="8"/>
  <c r="C28" i="8" s="1"/>
  <c r="D35" i="5"/>
  <c r="F41" i="4"/>
  <c r="E65" i="4"/>
  <c r="F65" i="4" s="1"/>
  <c r="C75" i="4"/>
  <c r="D112" i="22"/>
  <c r="D55" i="22"/>
  <c r="D47" i="22"/>
  <c r="D37" i="22"/>
  <c r="E113" i="22"/>
  <c r="E56" i="22"/>
  <c r="E48" i="22"/>
  <c r="E38" i="22"/>
  <c r="E55" i="22"/>
  <c r="E47" i="22"/>
  <c r="E37" i="22"/>
  <c r="E112" i="22"/>
  <c r="D56" i="22"/>
  <c r="C181" i="18"/>
  <c r="C169" i="18"/>
  <c r="E211" i="18"/>
  <c r="D235" i="18"/>
  <c r="E145" i="18"/>
  <c r="E168" i="18"/>
  <c r="D162" i="17"/>
  <c r="D323" i="17" s="1"/>
  <c r="C62" i="17"/>
  <c r="C63" i="17" s="1"/>
  <c r="E63" i="17" s="1"/>
  <c r="E32" i="17"/>
  <c r="F32" i="17" s="1"/>
  <c r="D196" i="17"/>
  <c r="E254" i="17"/>
  <c r="F254" i="17"/>
  <c r="D104" i="17"/>
  <c r="D105" i="17"/>
  <c r="C42" i="12"/>
  <c r="C49" i="12" s="1"/>
  <c r="E112" i="8"/>
  <c r="E111" i="8" s="1"/>
  <c r="E28" i="8"/>
  <c r="E99" i="8" s="1"/>
  <c r="E101" i="8" s="1"/>
  <c r="E98" i="8" s="1"/>
  <c r="D43" i="5"/>
  <c r="E75" i="4"/>
  <c r="F75" i="4" s="1"/>
  <c r="D106" i="17"/>
  <c r="E62" i="17"/>
  <c r="F62" i="17"/>
  <c r="D50" i="5"/>
  <c r="D70" i="17" l="1"/>
  <c r="D281" i="17"/>
  <c r="E304" i="17"/>
  <c r="F304" i="17" s="1"/>
  <c r="E43" i="11"/>
  <c r="F43" i="11" s="1"/>
  <c r="C22" i="8"/>
  <c r="C99" i="8"/>
  <c r="C101" i="8" s="1"/>
  <c r="C98" i="8" s="1"/>
  <c r="F18" i="5"/>
  <c r="E284" i="17"/>
  <c r="F284" i="17"/>
  <c r="C112" i="8"/>
  <c r="C111" i="8" s="1"/>
  <c r="D92" i="17"/>
  <c r="D113" i="17" s="1"/>
  <c r="E18" i="5"/>
  <c r="C287" i="17"/>
  <c r="C286" i="17"/>
  <c r="F16" i="15"/>
  <c r="E235" i="18"/>
  <c r="C21" i="5"/>
  <c r="C41" i="20"/>
  <c r="F41" i="20" s="1"/>
  <c r="C91" i="17"/>
  <c r="C92" i="17" s="1"/>
  <c r="C161" i="17"/>
  <c r="C49" i="17"/>
  <c r="C50" i="17" s="1"/>
  <c r="C70" i="17" s="1"/>
  <c r="C102" i="17"/>
  <c r="D262" i="17"/>
  <c r="D278" i="17"/>
  <c r="D279" i="17" s="1"/>
  <c r="E279" i="17" s="1"/>
  <c r="F279" i="17" s="1"/>
  <c r="E36" i="20"/>
  <c r="F36" i="20" s="1"/>
  <c r="F33" i="20"/>
  <c r="E92" i="6"/>
  <c r="F92" i="6" s="1"/>
  <c r="F17" i="17"/>
  <c r="D42" i="12"/>
  <c r="E42" i="12" s="1"/>
  <c r="F42" i="12" s="1"/>
  <c r="D126" i="17"/>
  <c r="C208" i="9"/>
  <c r="E208" i="9" s="1"/>
  <c r="F208" i="9" s="1"/>
  <c r="E42" i="18"/>
  <c r="C33" i="22"/>
  <c r="C23" i="22"/>
  <c r="C22" i="22"/>
  <c r="C34" i="22"/>
  <c r="C300" i="17"/>
  <c r="E300" i="17" s="1"/>
  <c r="F300" i="17" s="1"/>
  <c r="C102" i="22"/>
  <c r="C103" i="22" s="1"/>
  <c r="F141" i="9"/>
  <c r="D302" i="18"/>
  <c r="E265" i="18"/>
  <c r="E41" i="20"/>
  <c r="E283" i="17"/>
  <c r="F283" i="17" s="1"/>
  <c r="E141" i="8"/>
  <c r="D158" i="8"/>
  <c r="E113" i="10"/>
  <c r="D25" i="8"/>
  <c r="D27" i="8" s="1"/>
  <c r="D15" i="8"/>
  <c r="D33" i="18"/>
  <c r="E32" i="18"/>
  <c r="E233" i="18"/>
  <c r="D253" i="18"/>
  <c r="E253" i="18" s="1"/>
  <c r="C20" i="20"/>
  <c r="E19" i="20"/>
  <c r="F19" i="20" s="1"/>
  <c r="D108" i="22"/>
  <c r="D109" i="22"/>
  <c r="F264" i="17"/>
  <c r="E49" i="17"/>
  <c r="F49" i="17" s="1"/>
  <c r="E41" i="11"/>
  <c r="F41" i="11" s="1"/>
  <c r="E50" i="6"/>
  <c r="F50" i="6"/>
  <c r="E220" i="18"/>
  <c r="D244" i="18"/>
  <c r="E244" i="18" s="1"/>
  <c r="E20" i="20"/>
  <c r="F60" i="15"/>
  <c r="E88" i="17"/>
  <c r="D103" i="22"/>
  <c r="E46" i="6"/>
  <c r="E81" i="6"/>
  <c r="F81" i="6" s="1"/>
  <c r="E167" i="7"/>
  <c r="F167" i="7" s="1"/>
  <c r="F183" i="7"/>
  <c r="E27" i="8"/>
  <c r="C166" i="8"/>
  <c r="E201" i="9"/>
  <c r="F201" i="9" s="1"/>
  <c r="E205" i="9"/>
  <c r="F205" i="9" s="1"/>
  <c r="E101" i="17"/>
  <c r="F101" i="17" s="1"/>
  <c r="E129" i="17"/>
  <c r="F129" i="17" s="1"/>
  <c r="E144" i="17"/>
  <c r="C44" i="18"/>
  <c r="E162" i="18"/>
  <c r="E176" i="18"/>
  <c r="C64" i="19"/>
  <c r="C65" i="19" s="1"/>
  <c r="C114" i="19" s="1"/>
  <c r="C116" i="19" s="1"/>
  <c r="C119" i="19" s="1"/>
  <c r="C123" i="19" s="1"/>
  <c r="F25" i="6"/>
  <c r="E38" i="6"/>
  <c r="F38" i="6" s="1"/>
  <c r="C95" i="6"/>
  <c r="F90" i="6"/>
  <c r="E59" i="7"/>
  <c r="E89" i="9"/>
  <c r="E127" i="9"/>
  <c r="F127" i="9" s="1"/>
  <c r="F85" i="17"/>
  <c r="F16" i="20"/>
  <c r="F153" i="6"/>
  <c r="C95" i="7"/>
  <c r="E95" i="7" s="1"/>
  <c r="F95" i="7" s="1"/>
  <c r="E85" i="17"/>
  <c r="F109" i="17"/>
  <c r="C124" i="17"/>
  <c r="E124" i="17" s="1"/>
  <c r="F124" i="17" s="1"/>
  <c r="F130" i="17"/>
  <c r="E145" i="17"/>
  <c r="F145" i="17" s="1"/>
  <c r="D65" i="18"/>
  <c r="D66" i="18" s="1"/>
  <c r="E177" i="18"/>
  <c r="E276" i="18"/>
  <c r="F25" i="20"/>
  <c r="F44" i="20"/>
  <c r="E51" i="6"/>
  <c r="F51" i="6" s="1"/>
  <c r="F88" i="6"/>
  <c r="E93" i="6"/>
  <c r="C109" i="8"/>
  <c r="C106" i="8" s="1"/>
  <c r="F199" i="9"/>
  <c r="F203" i="9"/>
  <c r="D50" i="13"/>
  <c r="C193" i="17"/>
  <c r="E227" i="18"/>
  <c r="F22" i="20"/>
  <c r="E19" i="21"/>
  <c r="F19" i="21" s="1"/>
  <c r="C88" i="22"/>
  <c r="E242" i="18"/>
  <c r="F24" i="7"/>
  <c r="C86" i="8"/>
  <c r="E94" i="17"/>
  <c r="E100" i="17"/>
  <c r="E136" i="17"/>
  <c r="C37" i="19"/>
  <c r="C38" i="19" s="1"/>
  <c r="C127" i="19" s="1"/>
  <c r="C129" i="19" s="1"/>
  <c r="C133" i="19" s="1"/>
  <c r="F21" i="21"/>
  <c r="E46" i="20"/>
  <c r="F46" i="20" s="1"/>
  <c r="E91" i="6"/>
  <c r="F91" i="6" s="1"/>
  <c r="E94" i="6"/>
  <c r="F94" i="6" s="1"/>
  <c r="E24" i="7"/>
  <c r="E41" i="7"/>
  <c r="F41" i="7" s="1"/>
  <c r="E154" i="9"/>
  <c r="E228" i="18"/>
  <c r="E232" i="18"/>
  <c r="F45" i="20"/>
  <c r="E71" i="18"/>
  <c r="F42" i="6"/>
  <c r="E49" i="6"/>
  <c r="F49" i="6" s="1"/>
  <c r="F86" i="6"/>
  <c r="F89" i="6"/>
  <c r="E35" i="7"/>
  <c r="E109" i="8"/>
  <c r="E106" i="8" s="1"/>
  <c r="E95" i="17"/>
  <c r="E38" i="18"/>
  <c r="E166" i="18"/>
  <c r="E174" i="18"/>
  <c r="E288" i="18"/>
  <c r="D197" i="17"/>
  <c r="F95" i="10"/>
  <c r="E95" i="10"/>
  <c r="E180" i="18"/>
  <c r="E280" i="17"/>
  <c r="F280" i="17" s="1"/>
  <c r="C173" i="17"/>
  <c r="D181" i="18"/>
  <c r="E181" i="18" s="1"/>
  <c r="D169" i="18"/>
  <c r="E169" i="18" s="1"/>
  <c r="E70" i="13"/>
  <c r="E72" i="13" s="1"/>
  <c r="E69" i="13" s="1"/>
  <c r="E22" i="13"/>
  <c r="E90" i="17"/>
  <c r="F90" i="17" s="1"/>
  <c r="E205" i="17"/>
  <c r="F205" i="17" s="1"/>
  <c r="E239" i="17"/>
  <c r="F239" i="17" s="1"/>
  <c r="D207" i="17"/>
  <c r="D138" i="17"/>
  <c r="D89" i="18"/>
  <c r="D95" i="18"/>
  <c r="D86" i="18"/>
  <c r="D258" i="18"/>
  <c r="D87" i="18"/>
  <c r="D88" i="18"/>
  <c r="D100" i="18"/>
  <c r="E44" i="18"/>
  <c r="D85" i="18"/>
  <c r="D84" i="18"/>
  <c r="D98" i="18"/>
  <c r="D101" i="18"/>
  <c r="D83" i="18"/>
  <c r="E285" i="17"/>
  <c r="F285" i="17" s="1"/>
  <c r="D288" i="17"/>
  <c r="D286" i="17"/>
  <c r="E286" i="17" s="1"/>
  <c r="F286" i="17" s="1"/>
  <c r="E22" i="4"/>
  <c r="F22" i="4" s="1"/>
  <c r="C43" i="4"/>
  <c r="D324" i="17"/>
  <c r="E92" i="17"/>
  <c r="F92" i="17" s="1"/>
  <c r="D183" i="17"/>
  <c r="D265" i="17"/>
  <c r="D48" i="22"/>
  <c r="D38" i="22"/>
  <c r="D113" i="22"/>
  <c r="C271" i="17"/>
  <c r="C268" i="17"/>
  <c r="E267" i="17"/>
  <c r="C270" i="17"/>
  <c r="F267" i="17"/>
  <c r="C137" i="8"/>
  <c r="C135" i="8"/>
  <c r="C140" i="8"/>
  <c r="C138" i="8"/>
  <c r="C136" i="8"/>
  <c r="C22" i="13"/>
  <c r="C70" i="13"/>
  <c r="C72" i="13" s="1"/>
  <c r="C69" i="13" s="1"/>
  <c r="E172" i="17"/>
  <c r="F172" i="17" s="1"/>
  <c r="D102" i="18"/>
  <c r="D289" i="17"/>
  <c r="E217" i="18"/>
  <c r="D241" i="18"/>
  <c r="E241" i="18" s="1"/>
  <c r="D195" i="17"/>
  <c r="C66" i="18"/>
  <c r="C246" i="18"/>
  <c r="C294" i="18"/>
  <c r="D49" i="12"/>
  <c r="E49" i="12" s="1"/>
  <c r="F49" i="12" s="1"/>
  <c r="F63" i="17"/>
  <c r="E70" i="17"/>
  <c r="F70" i="17" s="1"/>
  <c r="F75" i="11"/>
  <c r="C76" i="18"/>
  <c r="D43" i="4"/>
  <c r="E43" i="4" s="1"/>
  <c r="F179" i="6"/>
  <c r="C207" i="9"/>
  <c r="F198" i="9"/>
  <c r="C109" i="22"/>
  <c r="C108" i="22"/>
  <c r="E87" i="6"/>
  <c r="D95" i="6"/>
  <c r="E95" i="6" s="1"/>
  <c r="F95" i="6" s="1"/>
  <c r="F33" i="5"/>
  <c r="E41" i="5"/>
  <c r="F41" i="5" s="1"/>
  <c r="F48" i="6"/>
  <c r="F85" i="6"/>
  <c r="F124" i="6"/>
  <c r="E137" i="6"/>
  <c r="F137" i="6"/>
  <c r="D52" i="6"/>
  <c r="E52" i="6" s="1"/>
  <c r="F52" i="6" s="1"/>
  <c r="D77" i="8"/>
  <c r="D71" i="8" s="1"/>
  <c r="D88" i="8"/>
  <c r="D90" i="8" s="1"/>
  <c r="D86" i="8" s="1"/>
  <c r="E166" i="8"/>
  <c r="E90" i="8"/>
  <c r="E86" i="8" s="1"/>
  <c r="E23" i="9"/>
  <c r="F23" i="9" s="1"/>
  <c r="F46" i="6"/>
  <c r="E18" i="7"/>
  <c r="F18" i="7"/>
  <c r="C188" i="7"/>
  <c r="E102" i="9"/>
  <c r="F102" i="9" s="1"/>
  <c r="E153" i="9"/>
  <c r="C43" i="8"/>
  <c r="E198" i="9"/>
  <c r="F40" i="12"/>
  <c r="D25" i="13"/>
  <c r="D27" i="13" s="1"/>
  <c r="D15" i="13"/>
  <c r="D48" i="13"/>
  <c r="D42" i="13" s="1"/>
  <c r="D59" i="13"/>
  <c r="D61" i="13" s="1"/>
  <c r="D57" i="13" s="1"/>
  <c r="F100" i="17"/>
  <c r="F120" i="17"/>
  <c r="E302" i="18"/>
  <c r="C57" i="8"/>
  <c r="C62" i="8" s="1"/>
  <c r="E43" i="8"/>
  <c r="E50" i="9"/>
  <c r="F50" i="9" s="1"/>
  <c r="F75" i="9"/>
  <c r="E202" i="9"/>
  <c r="F202" i="9" s="1"/>
  <c r="E206" i="9"/>
  <c r="F206" i="9" s="1"/>
  <c r="E40" i="12"/>
  <c r="E61" i="13"/>
  <c r="E57" i="13" s="1"/>
  <c r="F88" i="17"/>
  <c r="F95" i="17"/>
  <c r="F110" i="17"/>
  <c r="E159" i="17"/>
  <c r="F159" i="17" s="1"/>
  <c r="F111" i="6"/>
  <c r="F166" i="6"/>
  <c r="F30" i="7"/>
  <c r="F35" i="7"/>
  <c r="F59" i="7"/>
  <c r="E180" i="9"/>
  <c r="C252" i="18"/>
  <c r="C254" i="18" s="1"/>
  <c r="E279" i="18"/>
  <c r="F37" i="9"/>
  <c r="E76" i="9"/>
  <c r="F76" i="9" s="1"/>
  <c r="F144" i="17"/>
  <c r="D76" i="18"/>
  <c r="D243" i="18"/>
  <c r="E219" i="18"/>
  <c r="D222" i="18"/>
  <c r="D303" i="18"/>
  <c r="F49" i="9"/>
  <c r="E101" i="9"/>
  <c r="F101" i="9" s="1"/>
  <c r="F128" i="9"/>
  <c r="E200" i="9"/>
  <c r="F200" i="9" s="1"/>
  <c r="E204" i="9"/>
  <c r="F204" i="9" s="1"/>
  <c r="F47" i="12"/>
  <c r="E260" i="18"/>
  <c r="D33" i="14"/>
  <c r="D36" i="14" s="1"/>
  <c r="D38" i="14" s="1"/>
  <c r="D40" i="14" s="1"/>
  <c r="D175" i="18"/>
  <c r="E175" i="18" s="1"/>
  <c r="C137" i="17"/>
  <c r="C22" i="19"/>
  <c r="F94" i="17"/>
  <c r="F136" i="17"/>
  <c r="F33" i="14"/>
  <c r="E216" i="18"/>
  <c r="E65" i="18" l="1"/>
  <c r="E287" i="17"/>
  <c r="F287" i="17" s="1"/>
  <c r="C291" i="17"/>
  <c r="C305" i="17" s="1"/>
  <c r="C309" i="17" s="1"/>
  <c r="C289" i="17"/>
  <c r="E289" i="17" s="1"/>
  <c r="F289" i="17" s="1"/>
  <c r="E33" i="18"/>
  <c r="D295" i="18"/>
  <c r="C103" i="17"/>
  <c r="E102" i="17"/>
  <c r="F102" i="17" s="1"/>
  <c r="E21" i="5"/>
  <c r="F21" i="5" s="1"/>
  <c r="C35" i="5"/>
  <c r="D24" i="8"/>
  <c r="D17" i="8"/>
  <c r="C110" i="22"/>
  <c r="C53" i="22"/>
  <c r="C39" i="22"/>
  <c r="C45" i="22"/>
  <c r="C35" i="22"/>
  <c r="C29" i="22"/>
  <c r="C266" i="17"/>
  <c r="F193" i="17"/>
  <c r="C282" i="17"/>
  <c r="E193" i="17"/>
  <c r="C194" i="17"/>
  <c r="C126" i="17"/>
  <c r="C127" i="17" s="1"/>
  <c r="C125" i="17"/>
  <c r="E125" i="17" s="1"/>
  <c r="F125" i="17" s="1"/>
  <c r="D21" i="8"/>
  <c r="D20" i="8"/>
  <c r="C111" i="22"/>
  <c r="C54" i="22"/>
  <c r="C36" i="22"/>
  <c r="C46" i="22"/>
  <c r="C40" i="22"/>
  <c r="C30" i="22"/>
  <c r="E50" i="17"/>
  <c r="F50" i="17" s="1"/>
  <c r="D272" i="17"/>
  <c r="E262" i="17"/>
  <c r="F262" i="17" s="1"/>
  <c r="D263" i="17"/>
  <c r="E263" i="17" s="1"/>
  <c r="F263" i="17" s="1"/>
  <c r="D294" i="18"/>
  <c r="C153" i="8"/>
  <c r="C156" i="8"/>
  <c r="C154" i="8"/>
  <c r="C152" i="8"/>
  <c r="C157" i="8"/>
  <c r="C155" i="8"/>
  <c r="F161" i="17"/>
  <c r="C162" i="17"/>
  <c r="E162" i="17" s="1"/>
  <c r="F162" i="17" s="1"/>
  <c r="E161" i="17"/>
  <c r="E126" i="17"/>
  <c r="F126" i="17" s="1"/>
  <c r="D127" i="17"/>
  <c r="E127" i="17" s="1"/>
  <c r="F127" i="17" s="1"/>
  <c r="C101" i="18"/>
  <c r="E101" i="18" s="1"/>
  <c r="C98" i="18"/>
  <c r="E98" i="18" s="1"/>
  <c r="C99" i="18"/>
  <c r="E99" i="18" s="1"/>
  <c r="C87" i="18"/>
  <c r="E87" i="18" s="1"/>
  <c r="C97" i="18"/>
  <c r="E97" i="18" s="1"/>
  <c r="C83" i="18"/>
  <c r="C95" i="18"/>
  <c r="C103" i="18" s="1"/>
  <c r="C100" i="18"/>
  <c r="C102" i="18" s="1"/>
  <c r="E102" i="18" s="1"/>
  <c r="C88" i="18"/>
  <c r="E88" i="18" s="1"/>
  <c r="C96" i="18"/>
  <c r="E96" i="18" s="1"/>
  <c r="C86" i="18"/>
  <c r="E86" i="18" s="1"/>
  <c r="C89" i="18"/>
  <c r="E89" i="18" s="1"/>
  <c r="C84" i="18"/>
  <c r="C85" i="18"/>
  <c r="E85" i="18" s="1"/>
  <c r="C258" i="18"/>
  <c r="E258" i="18" s="1"/>
  <c r="E21" i="8"/>
  <c r="E22" i="8"/>
  <c r="E20" i="8"/>
  <c r="F20" i="20"/>
  <c r="E278" i="17"/>
  <c r="F278" i="17" s="1"/>
  <c r="E91" i="17"/>
  <c r="F91" i="17" s="1"/>
  <c r="C259" i="18"/>
  <c r="C263" i="18" s="1"/>
  <c r="C77" i="18"/>
  <c r="C273" i="17"/>
  <c r="E271" i="17"/>
  <c r="F271" i="17" s="1"/>
  <c r="C207" i="17"/>
  <c r="C138" i="17"/>
  <c r="D24" i="13"/>
  <c r="D17" i="13"/>
  <c r="D28" i="13" s="1"/>
  <c r="D70" i="13" s="1"/>
  <c r="D72" i="13" s="1"/>
  <c r="D69" i="13" s="1"/>
  <c r="D139" i="17"/>
  <c r="D140" i="17"/>
  <c r="E157" i="8"/>
  <c r="E155" i="8"/>
  <c r="E153" i="8"/>
  <c r="E156" i="8"/>
  <c r="E154" i="8"/>
  <c r="E152" i="8"/>
  <c r="D21" i="13"/>
  <c r="D22" i="13"/>
  <c r="D20" i="13"/>
  <c r="D291" i="17"/>
  <c r="E288" i="17"/>
  <c r="F288" i="17" s="1"/>
  <c r="E137" i="17"/>
  <c r="F137" i="17" s="1"/>
  <c r="C175" i="17"/>
  <c r="E173" i="17"/>
  <c r="F173" i="17" s="1"/>
  <c r="C174" i="17"/>
  <c r="D208" i="17"/>
  <c r="E188" i="7"/>
  <c r="F188" i="7" s="1"/>
  <c r="H33" i="14"/>
  <c r="H36" i="14" s="1"/>
  <c r="H38" i="14" s="1"/>
  <c r="H40" i="14" s="1"/>
  <c r="F36" i="14"/>
  <c r="F38" i="14" s="1"/>
  <c r="F40" i="14" s="1"/>
  <c r="E83" i="18"/>
  <c r="E207" i="9"/>
  <c r="F207" i="9" s="1"/>
  <c r="E270" i="17"/>
  <c r="F270" i="17" s="1"/>
  <c r="C310" i="17"/>
  <c r="D246" i="18"/>
  <c r="E246" i="18" s="1"/>
  <c r="D223" i="18"/>
  <c r="E222" i="18"/>
  <c r="E243" i="18"/>
  <c r="D252" i="18"/>
  <c r="E66" i="18"/>
  <c r="C247" i="18"/>
  <c r="C295" i="18"/>
  <c r="E295" i="18" s="1"/>
  <c r="C141" i="8"/>
  <c r="F43" i="4"/>
  <c r="E303" i="18"/>
  <c r="D306" i="18"/>
  <c r="E294" i="18"/>
  <c r="D77" i="18"/>
  <c r="D259" i="18"/>
  <c r="E76" i="18"/>
  <c r="E268" i="17"/>
  <c r="F268" i="17" s="1"/>
  <c r="E84" i="18"/>
  <c r="D90" i="18"/>
  <c r="D103" i="18"/>
  <c r="C158" i="8" l="1"/>
  <c r="E282" i="17"/>
  <c r="F282" i="17" s="1"/>
  <c r="C281" i="17"/>
  <c r="E35" i="5"/>
  <c r="F35" i="5" s="1"/>
  <c r="C43" i="5"/>
  <c r="C264" i="18"/>
  <c r="C266" i="18" s="1"/>
  <c r="C267" i="18" s="1"/>
  <c r="C91" i="18"/>
  <c r="D273" i="17"/>
  <c r="E272" i="17"/>
  <c r="F272" i="17" s="1"/>
  <c r="C90" i="18"/>
  <c r="E90" i="18" s="1"/>
  <c r="C38" i="22"/>
  <c r="C113" i="22"/>
  <c r="C56" i="22"/>
  <c r="C48" i="22"/>
  <c r="C112" i="22"/>
  <c r="C55" i="22"/>
  <c r="C47" i="22"/>
  <c r="C37" i="22"/>
  <c r="C105" i="17"/>
  <c r="C104" i="17"/>
  <c r="E103" i="17"/>
  <c r="F103" i="17" s="1"/>
  <c r="E100" i="18"/>
  <c r="E266" i="17"/>
  <c r="F266" i="17" s="1"/>
  <c r="C265" i="17"/>
  <c r="E265" i="17" s="1"/>
  <c r="F265" i="17" s="1"/>
  <c r="C197" i="17"/>
  <c r="C195" i="17"/>
  <c r="E195" i="17" s="1"/>
  <c r="F195" i="17" s="1"/>
  <c r="C196" i="17"/>
  <c r="E196" i="17" s="1"/>
  <c r="F196" i="17" s="1"/>
  <c r="E194" i="17"/>
  <c r="F194" i="17" s="1"/>
  <c r="C105" i="18"/>
  <c r="D28" i="8"/>
  <c r="D112" i="8"/>
  <c r="D111" i="8" s="1"/>
  <c r="E103" i="18"/>
  <c r="E95" i="18"/>
  <c r="C140" i="17"/>
  <c r="E140" i="17" s="1"/>
  <c r="C139" i="17"/>
  <c r="C208" i="17"/>
  <c r="E208" i="17" s="1"/>
  <c r="D112" i="18"/>
  <c r="E77" i="18"/>
  <c r="D110" i="18"/>
  <c r="D109" i="18"/>
  <c r="D127" i="18"/>
  <c r="D113" i="18"/>
  <c r="D111" i="18"/>
  <c r="D125" i="18"/>
  <c r="D124" i="18"/>
  <c r="D115" i="18"/>
  <c r="D123" i="18"/>
  <c r="D122" i="18"/>
  <c r="D121" i="18"/>
  <c r="D126" i="18"/>
  <c r="D114" i="18"/>
  <c r="C312" i="17"/>
  <c r="E139" i="17"/>
  <c r="D263" i="18"/>
  <c r="E259" i="18"/>
  <c r="D141" i="17"/>
  <c r="E175" i="17"/>
  <c r="F175" i="17"/>
  <c r="C176" i="17"/>
  <c r="E158" i="8"/>
  <c r="E138" i="17"/>
  <c r="F138" i="17" s="1"/>
  <c r="E306" i="18"/>
  <c r="D310" i="18"/>
  <c r="E310" i="18" s="1"/>
  <c r="E252" i="18"/>
  <c r="D254" i="18"/>
  <c r="E254" i="18" s="1"/>
  <c r="D91" i="18"/>
  <c r="E207" i="17"/>
  <c r="F207" i="17" s="1"/>
  <c r="E273" i="17"/>
  <c r="F273" i="17" s="1"/>
  <c r="D210" i="17"/>
  <c r="D209" i="17"/>
  <c r="D305" i="17"/>
  <c r="E291" i="17"/>
  <c r="F291" i="17" s="1"/>
  <c r="C126" i="18"/>
  <c r="C111" i="18"/>
  <c r="C110" i="18"/>
  <c r="C124" i="18"/>
  <c r="C127" i="18"/>
  <c r="C122" i="18"/>
  <c r="C125" i="18"/>
  <c r="C123" i="18"/>
  <c r="C115" i="18"/>
  <c r="C121" i="18"/>
  <c r="C112" i="18"/>
  <c r="C113" i="18"/>
  <c r="C109" i="18"/>
  <c r="C114" i="18"/>
  <c r="E174" i="17"/>
  <c r="F174" i="17" s="1"/>
  <c r="D247" i="18"/>
  <c r="E247" i="18" s="1"/>
  <c r="E223" i="18"/>
  <c r="C268" i="18"/>
  <c r="C269" i="18"/>
  <c r="E115" i="18" l="1"/>
  <c r="D99" i="8"/>
  <c r="D101" i="8" s="1"/>
  <c r="D98" i="8" s="1"/>
  <c r="D22" i="8"/>
  <c r="E104" i="17"/>
  <c r="F104" i="17" s="1"/>
  <c r="C50" i="5"/>
  <c r="E43" i="5"/>
  <c r="F43" i="5" s="1"/>
  <c r="F105" i="17"/>
  <c r="E105" i="17"/>
  <c r="C106" i="17"/>
  <c r="E281" i="17"/>
  <c r="F281" i="17"/>
  <c r="E197" i="17"/>
  <c r="F197" i="17" s="1"/>
  <c r="C183" i="17"/>
  <c r="C323" i="17"/>
  <c r="E176" i="17"/>
  <c r="F176" i="17"/>
  <c r="E123" i="18"/>
  <c r="D116" i="18"/>
  <c r="E110" i="18"/>
  <c r="D309" i="17"/>
  <c r="E305" i="17"/>
  <c r="F305" i="17" s="1"/>
  <c r="E124" i="18"/>
  <c r="E112" i="18"/>
  <c r="C271" i="18"/>
  <c r="C128" i="18"/>
  <c r="C129" i="18" s="1"/>
  <c r="C313" i="17"/>
  <c r="E125" i="18"/>
  <c r="C210" i="17"/>
  <c r="F208" i="17"/>
  <c r="C209" i="17"/>
  <c r="E209" i="17" s="1"/>
  <c r="E91" i="18"/>
  <c r="D105" i="18"/>
  <c r="E105" i="18" s="1"/>
  <c r="D322" i="17"/>
  <c r="D148" i="17"/>
  <c r="E114" i="18"/>
  <c r="E111" i="18"/>
  <c r="D211" i="17"/>
  <c r="E126" i="18"/>
  <c r="E113" i="18"/>
  <c r="C116" i="18"/>
  <c r="C117" i="18" s="1"/>
  <c r="C131" i="18" s="1"/>
  <c r="E263" i="18"/>
  <c r="D264" i="18"/>
  <c r="E121" i="18"/>
  <c r="E127" i="18"/>
  <c r="F139" i="17"/>
  <c r="E122" i="18"/>
  <c r="D128" i="18"/>
  <c r="E128" i="18" s="1"/>
  <c r="D117" i="18"/>
  <c r="E109" i="18"/>
  <c r="F140" i="17"/>
  <c r="C141" i="17"/>
  <c r="E141" i="17" s="1"/>
  <c r="E50" i="5" l="1"/>
  <c r="F50" i="5" s="1"/>
  <c r="E106" i="17"/>
  <c r="F106" i="17" s="1"/>
  <c r="C113" i="17"/>
  <c r="E113" i="17" s="1"/>
  <c r="F113" i="17" s="1"/>
  <c r="C324" i="17"/>
  <c r="E309" i="17"/>
  <c r="F309" i="17" s="1"/>
  <c r="D310" i="17"/>
  <c r="D325" i="17"/>
  <c r="C256" i="17"/>
  <c r="C315" i="17"/>
  <c r="C314" i="17"/>
  <c r="C251" i="17"/>
  <c r="E323" i="17"/>
  <c r="F323" i="17" s="1"/>
  <c r="C322" i="17"/>
  <c r="E322" i="17" s="1"/>
  <c r="C211" i="17"/>
  <c r="E211" i="17" s="1"/>
  <c r="F141" i="17"/>
  <c r="C148" i="17"/>
  <c r="E210" i="17"/>
  <c r="F210" i="17" s="1"/>
  <c r="E116" i="18"/>
  <c r="D129" i="18"/>
  <c r="E129" i="18" s="1"/>
  <c r="F209" i="17"/>
  <c r="D131" i="18"/>
  <c r="E131" i="18" s="1"/>
  <c r="E117" i="18"/>
  <c r="D266" i="18"/>
  <c r="E264" i="18"/>
  <c r="E183" i="17"/>
  <c r="F183" i="17" s="1"/>
  <c r="E324" i="17" l="1"/>
  <c r="F324" i="17" s="1"/>
  <c r="E266" i="18"/>
  <c r="D267" i="18"/>
  <c r="C318" i="17"/>
  <c r="E148" i="17"/>
  <c r="F148" i="17" s="1"/>
  <c r="C257" i="17"/>
  <c r="F211" i="17"/>
  <c r="F322" i="17"/>
  <c r="C325" i="17"/>
  <c r="D312" i="17"/>
  <c r="E310" i="17"/>
  <c r="F310" i="17" s="1"/>
  <c r="E312" i="17" l="1"/>
  <c r="F312" i="17" s="1"/>
  <c r="D313" i="17"/>
  <c r="E325" i="17"/>
  <c r="F325" i="17" s="1"/>
  <c r="E267" i="18"/>
  <c r="D268" i="18"/>
  <c r="D269" i="18"/>
  <c r="E269" i="18" s="1"/>
  <c r="E268" i="18" l="1"/>
  <c r="D271" i="18"/>
  <c r="E271" i="18" s="1"/>
  <c r="E313" i="17"/>
  <c r="F313" i="17" s="1"/>
  <c r="D251" i="17"/>
  <c r="E251" i="17" s="1"/>
  <c r="F251" i="17" s="1"/>
  <c r="D256" i="17"/>
  <c r="D314" i="17"/>
  <c r="D315" i="17"/>
  <c r="E315" i="17" s="1"/>
  <c r="F315" i="17" s="1"/>
  <c r="D318" i="17" l="1"/>
  <c r="E318" i="17" s="1"/>
  <c r="F318" i="17" s="1"/>
  <c r="E314" i="17"/>
  <c r="F314" i="17" s="1"/>
  <c r="D257" i="17"/>
  <c r="E257" i="17" s="1"/>
  <c r="F257" i="17" s="1"/>
  <c r="E256" i="17"/>
  <c r="F256" i="17" s="1"/>
</calcChain>
</file>

<file path=xl/sharedStrings.xml><?xml version="1.0" encoding="utf-8"?>
<sst xmlns="http://schemas.openxmlformats.org/spreadsheetml/2006/main" count="2335" uniqueCount="1011">
  <si>
    <t>GREENWICH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</si>
  <si>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</si>
  <si>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</si>
  <si>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</si>
  <si>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</si>
  <si>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</si>
  <si>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</si>
  <si>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</si>
  <si>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</si>
  <si>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</si>
  <si>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</si>
  <si>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</si>
  <si>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</si>
  <si>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</si>
  <si>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</si>
  <si>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</si>
  <si>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</si>
  <si>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</si>
  <si>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</si>
  <si>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</si>
  <si>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</si>
  <si>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</si>
  <si>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</si>
  <si>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</si>
  <si>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</si>
  <si>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</si>
  <si>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</si>
  <si>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</si>
  <si>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</si>
  <si>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</si>
  <si>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</si>
  <si>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</si>
  <si>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</si>
  <si>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</si>
  <si>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</si>
  <si>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</si>
  <si>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</si>
  <si>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</si>
  <si>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</si>
  <si>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</si>
  <si>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</si>
  <si>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</si>
  <si>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</si>
  <si>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</si>
  <si>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</si>
  <si>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</si>
  <si>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</si>
  <si>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</si>
  <si>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</si>
  <si>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</si>
  <si>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</si>
  <si>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</si>
  <si>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</si>
  <si>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</si>
  <si>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</si>
  <si>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</si>
  <si>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</si>
  <si>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</si>
  <si>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</si>
  <si>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</si>
  <si>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</si>
  <si>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</si>
  <si>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</si>
  <si>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</si>
  <si>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</si>
  <si>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</si>
  <si>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</si>
  <si>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</si>
  <si>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</si>
  <si>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</si>
  <si>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</si>
  <si>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</si>
  <si>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</si>
  <si>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</si>
  <si>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</si>
  <si>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</si>
  <si>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</si>
  <si>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</si>
  <si>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</si>
  <si>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</si>
  <si>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</si>
  <si>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</si>
  <si>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</si>
  <si>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</si>
  <si>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</si>
  <si>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</si>
  <si>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</si>
  <si>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</si>
  <si>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</si>
  <si>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</si>
  <si>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</si>
  <si>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</si>
  <si>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</si>
  <si>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</si>
  <si>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</si>
  <si>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</si>
  <si>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</si>
  <si>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</si>
  <si>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</si>
  <si>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</si>
  <si>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</si>
  <si>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</si>
  <si>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</si>
  <si>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</si>
  <si>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</si>
  <si>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</si>
  <si>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</si>
  <si>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</si>
  <si>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</si>
  <si>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</si>
  <si>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</si>
  <si>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</si>
  <si>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</si>
  <si>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</si>
  <si>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</si>
  <si>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</si>
  <si>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</si>
  <si>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</si>
  <si>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</si>
  <si>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</si>
  <si>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</si>
  <si>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</si>
  <si>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</si>
  <si>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</si>
  <si>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</si>
  <si>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</si>
  <si>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</si>
  <si>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</si>
  <si>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</si>
  <si>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</si>
  <si>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</si>
  <si>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</si>
  <si>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</si>
  <si>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</si>
  <si>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</si>
  <si>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</si>
  <si>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</si>
  <si>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</si>
  <si>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</si>
  <si>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</si>
  <si>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</si>
  <si>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</si>
  <si>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</si>
  <si>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</si>
  <si>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</si>
  <si>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</si>
  <si>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</si>
  <si>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</si>
  <si>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</si>
  <si>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</si>
  <si>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</si>
  <si>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</si>
  <si>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</si>
  <si>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</si>
  <si>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</si>
  <si>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</si>
  <si>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</si>
  <si>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</si>
  <si>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</si>
  <si>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</si>
  <si>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</si>
  <si>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</si>
  <si>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</si>
  <si>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</si>
  <si>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</si>
  <si>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</si>
  <si>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</si>
  <si>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</si>
  <si>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</si>
  <si>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</si>
  <si>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</si>
  <si>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</si>
  <si>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</si>
  <si>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</si>
  <si>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</si>
  <si>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</si>
  <si>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</si>
  <si>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</si>
  <si>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</si>
  <si>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</si>
  <si>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</si>
  <si>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</si>
  <si>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</si>
  <si>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</si>
  <si>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</si>
  <si>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</si>
  <si>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</si>
  <si>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</si>
  <si>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</si>
  <si>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</si>
  <si>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</si>
  <si>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</si>
  <si>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</si>
  <si>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</si>
  <si>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</si>
  <si>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</si>
  <si>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</si>
  <si>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</si>
  <si>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</si>
  <si>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</si>
  <si>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</si>
  <si>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</si>
  <si>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</si>
  <si>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</si>
  <si>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</si>
  <si>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</si>
  <si>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</si>
  <si>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</si>
  <si>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</si>
  <si>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</si>
  <si>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</si>
  <si>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</si>
  <si>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</si>
  <si>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</si>
  <si>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</si>
  <si>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</si>
  <si>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</si>
  <si>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</si>
  <si>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</si>
  <si>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</si>
  <si>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</si>
  <si>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</si>
  <si>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</si>
  <si>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</si>
  <si>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</si>
  <si>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</si>
  <si>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</si>
  <si>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</si>
  <si>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</si>
  <si>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</si>
  <si>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</si>
  <si>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</si>
  <si>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</si>
  <si>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</si>
  <si>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</si>
  <si>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</si>
  <si>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</si>
  <si>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</si>
  <si>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</si>
  <si>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</si>
  <si>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</si>
  <si>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</si>
  <si>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</si>
  <si>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</si>
  <si>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</si>
  <si>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</si>
  <si>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</si>
  <si>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</si>
  <si>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</si>
  <si>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</si>
  <si>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</si>
  <si>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</si>
  <si>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</si>
  <si>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</si>
  <si>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</si>
  <si>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</si>
  <si>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</si>
  <si>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</si>
  <si>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</si>
  <si>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</si>
  <si>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</si>
  <si>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</si>
  <si>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</si>
  <si>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</si>
  <si>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</si>
  <si>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</si>
  <si>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</si>
  <si>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</si>
  <si>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</si>
  <si>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</si>
  <si>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</si>
  <si>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</si>
  <si>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</si>
  <si>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</si>
  <si>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</si>
  <si>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</si>
  <si>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</si>
  <si>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</si>
  <si>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</si>
  <si>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</si>
  <si>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</si>
  <si>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</si>
  <si>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</si>
  <si>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</si>
  <si>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</si>
  <si>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</si>
  <si>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</si>
  <si>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</si>
  <si>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</si>
  <si>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</si>
  <si>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</si>
  <si>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</si>
  <si>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</si>
  <si>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</si>
  <si>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</si>
  <si>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</si>
  <si>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</si>
  <si>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</si>
  <si>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</si>
  <si>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</si>
  <si>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</si>
  <si>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</si>
  <si>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</si>
  <si>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</si>
  <si>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</si>
  <si>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</si>
  <si>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</si>
  <si>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</si>
  <si>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</si>
  <si>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</si>
  <si>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</si>
  <si>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</si>
  <si>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</si>
  <si>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</si>
  <si>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</si>
  <si>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</si>
  <si>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</si>
  <si>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</si>
  <si>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</si>
  <si>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</si>
  <si>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</si>
  <si>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</si>
  <si>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</si>
  <si>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</si>
  <si>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</si>
  <si>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</si>
  <si>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</si>
  <si>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</si>
  <si>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</si>
  <si>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</si>
  <si>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</si>
  <si>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</si>
  <si>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</si>
  <si>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</si>
  <si>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</si>
  <si>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</si>
  <si>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</si>
  <si>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</si>
  <si>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</si>
  <si>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</si>
  <si>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</si>
  <si>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</si>
  <si>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</si>
  <si>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</si>
  <si>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</si>
  <si>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</si>
  <si>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</si>
  <si>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</si>
  <si>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</si>
  <si>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</si>
  <si>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</si>
  <si>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</si>
  <si>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</si>
  <si>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</si>
  <si>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</si>
  <si>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</si>
  <si>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</si>
  <si>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</si>
  <si>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</si>
  <si>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</si>
  <si>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</si>
  <si>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</si>
  <si>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</si>
  <si>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</si>
  <si>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</si>
  <si>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</si>
  <si>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</si>
  <si>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</si>
  <si>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</si>
  <si>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</si>
  <si>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</si>
  <si>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</si>
  <si>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</si>
  <si>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</si>
  <si>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</si>
  <si>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</si>
  <si>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</si>
  <si>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</si>
  <si>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</si>
  <si>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</si>
  <si>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</si>
  <si>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</si>
  <si>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</si>
  <si>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</si>
  <si>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</si>
  <si>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</si>
  <si>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</si>
  <si>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</si>
  <si>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</si>
  <si>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</si>
  <si>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</si>
  <si>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</si>
  <si>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</si>
  <si>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</si>
  <si>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</si>
  <si>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</si>
  <si>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</si>
  <si>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</si>
  <si>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</si>
  <si>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</si>
  <si>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</si>
  <si>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</si>
  <si>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</si>
  <si>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</si>
  <si>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</si>
  <si>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</si>
  <si>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</si>
  <si>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</si>
  <si>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</si>
  <si>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</si>
  <si>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</si>
  <si>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</si>
  <si>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</si>
  <si>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</si>
  <si>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</si>
  <si>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</si>
  <si>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</si>
  <si>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</si>
  <si>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</si>
  <si>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</si>
  <si>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</si>
  <si>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</si>
  <si>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</si>
  <si>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</si>
  <si>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</si>
  <si>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</si>
  <si>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</si>
  <si>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</si>
  <si>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</si>
  <si>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</si>
  <si>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</si>
  <si>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</si>
  <si>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</si>
  <si>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</si>
  <si>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</si>
  <si>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</si>
  <si>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</si>
  <si>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</si>
  <si>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</si>
  <si>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</si>
  <si>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</si>
  <si>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</si>
  <si>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</si>
  <si>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</si>
  <si>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</si>
  <si>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</si>
  <si>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</si>
  <si>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</si>
  <si>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</si>
  <si>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</si>
  <si>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</si>
  <si>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</si>
  <si>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</si>
  <si>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</si>
  <si>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</si>
  <si>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</si>
  <si>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</si>
  <si>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</si>
  <si>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</si>
  <si>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</si>
  <si>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</si>
  <si>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</si>
  <si>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</si>
  <si>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</si>
  <si>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</si>
  <si>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</si>
  <si>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</si>
  <si>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</si>
  <si>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</si>
  <si>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</si>
  <si>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</si>
  <si>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</si>
  <si>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</si>
  <si>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</si>
  <si>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</si>
  <si>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</si>
  <si>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</si>
  <si>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</si>
  <si>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</si>
  <si>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</si>
  <si>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</si>
  <si>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</si>
  <si>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</si>
  <si>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</si>
  <si>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</si>
  <si>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</si>
  <si>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</si>
  <si>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</si>
  <si>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</si>
  <si>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</si>
  <si>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</si>
  <si>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</si>
  <si>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</si>
  <si>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</si>
  <si>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</si>
  <si>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</si>
  <si>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</si>
  <si>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</si>
  <si>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</si>
  <si>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</si>
  <si>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 NEW HAVEN HEALTH SERVICES CORP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</si>
  <si>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</si>
  <si>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</si>
  <si>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</si>
  <si>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</si>
  <si>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</si>
  <si>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</si>
  <si>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</si>
  <si>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</si>
  <si>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</si>
  <si>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</si>
  <si>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</si>
  <si>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</si>
  <si>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</si>
  <si>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</si>
  <si>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</si>
  <si>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</si>
  <si>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</si>
  <si>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</si>
  <si>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</si>
  <si>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</si>
  <si>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</si>
  <si>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</si>
  <si>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</si>
  <si>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</si>
  <si>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</si>
  <si>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</si>
  <si>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</si>
  <si>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</si>
  <si>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</si>
  <si>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</si>
  <si>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</si>
  <si>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</si>
  <si>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</si>
  <si>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</si>
  <si>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</si>
  <si>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</si>
  <si>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</si>
  <si>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</si>
  <si>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</si>
  <si>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</si>
  <si>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</si>
  <si>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</si>
  <si>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</si>
  <si>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</si>
  <si>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</si>
  <si>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</si>
  <si>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</si>
  <si>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</si>
  <si>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</si>
  <si>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</si>
  <si>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</si>
  <si>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</si>
  <si>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</si>
  <si>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</si>
  <si>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</si>
  <si>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</si>
  <si>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</si>
  <si>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</si>
  <si>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</si>
  <si>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</si>
  <si>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</si>
  <si>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</si>
  <si>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</si>
  <si>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</si>
  <si>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</si>
  <si>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</si>
  <si>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</si>
  <si>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</si>
  <si>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</si>
  <si>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</si>
  <si>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</si>
  <si>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</si>
  <si>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</si>
  <si>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</si>
  <si>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</si>
  <si>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</si>
  <si>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</si>
  <si>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</si>
  <si>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</si>
  <si>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</si>
  <si>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</si>
  <si>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</si>
  <si>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</si>
  <si>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</si>
  <si>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</si>
  <si>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</si>
  <si>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</si>
  <si>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</si>
  <si>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</si>
  <si>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</si>
  <si>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</si>
  <si>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</si>
  <si>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</si>
  <si>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</si>
  <si>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</si>
  <si>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</si>
  <si>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</si>
  <si>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</si>
  <si>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</si>
  <si>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</si>
  <si>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</si>
  <si>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</si>
  <si>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</si>
  <si>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</si>
  <si>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</si>
  <si>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</si>
  <si>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</si>
  <si>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</si>
  <si>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</si>
  <si>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</si>
  <si>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</si>
  <si>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</si>
  <si>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</si>
  <si>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</si>
  <si>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</si>
  <si>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</si>
  <si>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</si>
  <si>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</si>
  <si>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</si>
  <si>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</si>
  <si>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at Greenwich Hospital Campus</t>
  </si>
  <si>
    <t>Helmsley Surgical Center</t>
  </si>
  <si>
    <t>Total Outpatient Surgical Procedures(A)</t>
  </si>
  <si>
    <t>G Hosp @500 W Putnam St.</t>
  </si>
  <si>
    <t>Total Outpatient Endoscopy Procedures(B)</t>
  </si>
  <si>
    <t>Outpatient Hospital Emergency Room Visits</t>
  </si>
  <si>
    <t>At Greenwich Hospital Campus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</si>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</sst>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25899478</v>
      </c>
      <c r="D13" s="22">
        <v>16096633</v>
      </c>
      <c r="E13" s="22">
        <f t="shared" ref="E13:E22" si="0">D13-C13</f>
        <v>-9802845</v>
      </c>
      <c r="F13" s="23">
        <f t="shared" ref="F13:F22" si="1">IF(C13=0,0,E13/C13)</f>
        <v>-0.37849585231022803</v>
      </c>
    </row>
    <row r="14" spans="1:8" ht="24" customHeight="1" x14ac:dyDescent="0.2">
      <c r="A14" s="20">
        <v>2</v>
      </c>
      <c r="B14" s="21" t="s">
        <v>17</v>
      </c>
      <c r="C14" s="22">
        <v>72659059</v>
      </c>
      <c r="D14" s="22">
        <v>116197327</v>
      </c>
      <c r="E14" s="22">
        <f t="shared" si="0"/>
        <v>43538268</v>
      </c>
      <c r="F14" s="23">
        <f t="shared" si="1"/>
        <v>0.59921321028944241</v>
      </c>
    </row>
    <row r="15" spans="1:8" ht="24" customHeight="1" x14ac:dyDescent="0.2">
      <c r="A15" s="20">
        <v>3</v>
      </c>
      <c r="B15" s="21" t="s">
        <v>18</v>
      </c>
      <c r="C15" s="22">
        <v>38149419</v>
      </c>
      <c r="D15" s="22">
        <v>37664498</v>
      </c>
      <c r="E15" s="22">
        <f t="shared" si="0"/>
        <v>-484921</v>
      </c>
      <c r="F15" s="23">
        <f t="shared" si="1"/>
        <v>-1.2711097906890796E-2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1551531</v>
      </c>
      <c r="D19" s="22">
        <v>1869301</v>
      </c>
      <c r="E19" s="22">
        <f t="shared" si="0"/>
        <v>317770</v>
      </c>
      <c r="F19" s="23">
        <f t="shared" si="1"/>
        <v>0.20481060320418992</v>
      </c>
    </row>
    <row r="20" spans="1:11" ht="24" customHeight="1" x14ac:dyDescent="0.2">
      <c r="A20" s="20">
        <v>8</v>
      </c>
      <c r="B20" s="21" t="s">
        <v>23</v>
      </c>
      <c r="C20" s="22">
        <v>5855047</v>
      </c>
      <c r="D20" s="22">
        <v>5157662</v>
      </c>
      <c r="E20" s="22">
        <f t="shared" si="0"/>
        <v>-697385</v>
      </c>
      <c r="F20" s="23">
        <f t="shared" si="1"/>
        <v>-0.11910835216181868</v>
      </c>
    </row>
    <row r="21" spans="1:11" ht="24" customHeight="1" x14ac:dyDescent="0.2">
      <c r="A21" s="20">
        <v>9</v>
      </c>
      <c r="B21" s="21" t="s">
        <v>24</v>
      </c>
      <c r="C21" s="22">
        <v>33327091</v>
      </c>
      <c r="D21" s="22">
        <v>44305413</v>
      </c>
      <c r="E21" s="22">
        <f t="shared" si="0"/>
        <v>10978322</v>
      </c>
      <c r="F21" s="23">
        <f t="shared" si="1"/>
        <v>0.32941134886330165</v>
      </c>
    </row>
    <row r="22" spans="1:11" ht="24" customHeight="1" x14ac:dyDescent="0.25">
      <c r="A22" s="24"/>
      <c r="B22" s="25" t="s">
        <v>25</v>
      </c>
      <c r="C22" s="26">
        <f>SUM(C13:C21)</f>
        <v>177441625</v>
      </c>
      <c r="D22" s="26">
        <f>SUM(D13:D21)</f>
        <v>221290834</v>
      </c>
      <c r="E22" s="26">
        <f t="shared" si="0"/>
        <v>43849209</v>
      </c>
      <c r="F22" s="27">
        <f t="shared" si="1"/>
        <v>0.24711906803152867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44235268</v>
      </c>
      <c r="D26" s="22">
        <v>0</v>
      </c>
      <c r="E26" s="22">
        <f>D26-C26</f>
        <v>-44235268</v>
      </c>
      <c r="F26" s="23">
        <f>IF(C26=0,0,E26/C26)</f>
        <v>-1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583</v>
      </c>
      <c r="D27" s="22">
        <v>20895</v>
      </c>
      <c r="E27" s="22">
        <f>D27-C27</f>
        <v>20312</v>
      </c>
      <c r="F27" s="23">
        <f>IF(C27=0,0,E27/C27)</f>
        <v>34.840480274442541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13182589</v>
      </c>
      <c r="E28" s="22">
        <f>D28-C28</f>
        <v>13182589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44235851</v>
      </c>
      <c r="D29" s="26">
        <f>SUM(D25:D28)</f>
        <v>13203484</v>
      </c>
      <c r="E29" s="26">
        <f>D29-C29</f>
        <v>-31032367</v>
      </c>
      <c r="F29" s="27">
        <f>IF(C29=0,0,E29/C29)</f>
        <v>-0.70152074162651468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56878293</v>
      </c>
      <c r="D31" s="22">
        <v>58375636</v>
      </c>
      <c r="E31" s="22">
        <f>D31-C31</f>
        <v>1497343</v>
      </c>
      <c r="F31" s="23">
        <f>IF(C31=0,0,E31/C31)</f>
        <v>2.6325385679208058E-2</v>
      </c>
    </row>
    <row r="32" spans="1:11" ht="24" customHeight="1" x14ac:dyDescent="0.2">
      <c r="A32" s="20">
        <v>6</v>
      </c>
      <c r="B32" s="21" t="s">
        <v>34</v>
      </c>
      <c r="C32" s="22">
        <v>51339976</v>
      </c>
      <c r="D32" s="22">
        <v>60341406</v>
      </c>
      <c r="E32" s="22">
        <f>D32-C32</f>
        <v>9001430</v>
      </c>
      <c r="F32" s="23">
        <f>IF(C32=0,0,E32/C32)</f>
        <v>0.17532984433027393</v>
      </c>
    </row>
    <row r="33" spans="1:8" ht="24" customHeight="1" x14ac:dyDescent="0.2">
      <c r="A33" s="20">
        <v>7</v>
      </c>
      <c r="B33" s="21" t="s">
        <v>35</v>
      </c>
      <c r="C33" s="22">
        <v>24858655</v>
      </c>
      <c r="D33" s="22">
        <v>22808887</v>
      </c>
      <c r="E33" s="22">
        <f>D33-C33</f>
        <v>-2049768</v>
      </c>
      <c r="F33" s="23">
        <f>IF(C33=0,0,E33/C33)</f>
        <v>-8.2456914905492673E-2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443169349</v>
      </c>
      <c r="D36" s="22">
        <v>468570061</v>
      </c>
      <c r="E36" s="22">
        <f>D36-C36</f>
        <v>25400712</v>
      </c>
      <c r="F36" s="23">
        <f>IF(C36=0,0,E36/C36)</f>
        <v>5.7316039697501736E-2</v>
      </c>
    </row>
    <row r="37" spans="1:8" ht="24" customHeight="1" x14ac:dyDescent="0.2">
      <c r="A37" s="20">
        <v>2</v>
      </c>
      <c r="B37" s="21" t="s">
        <v>39</v>
      </c>
      <c r="C37" s="22">
        <v>231793886</v>
      </c>
      <c r="D37" s="22">
        <v>249872290</v>
      </c>
      <c r="E37" s="22">
        <f>D37-C37</f>
        <v>18078404</v>
      </c>
      <c r="F37" s="23">
        <f>IF(C37=0,0,E37/C37)</f>
        <v>7.7993446298234112E-2</v>
      </c>
    </row>
    <row r="38" spans="1:8" ht="24" customHeight="1" x14ac:dyDescent="0.25">
      <c r="A38" s="24"/>
      <c r="B38" s="25" t="s">
        <v>40</v>
      </c>
      <c r="C38" s="26">
        <f>C36-C37</f>
        <v>211375463</v>
      </c>
      <c r="D38" s="26">
        <f>D36-D37</f>
        <v>218697771</v>
      </c>
      <c r="E38" s="26">
        <f>D38-C38</f>
        <v>7322308</v>
      </c>
      <c r="F38" s="27">
        <f>IF(C38=0,0,E38/C38)</f>
        <v>3.4641239319248708E-2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4578312</v>
      </c>
      <c r="D40" s="22">
        <v>9192824</v>
      </c>
      <c r="E40" s="22">
        <f>D40-C40</f>
        <v>4614512</v>
      </c>
      <c r="F40" s="23">
        <f>IF(C40=0,0,E40/C40)</f>
        <v>1.0079068442692416</v>
      </c>
    </row>
    <row r="41" spans="1:8" ht="24" customHeight="1" x14ac:dyDescent="0.25">
      <c r="A41" s="24"/>
      <c r="B41" s="25" t="s">
        <v>42</v>
      </c>
      <c r="C41" s="26">
        <f>+C38+C40</f>
        <v>215953775</v>
      </c>
      <c r="D41" s="26">
        <f>+D38+D40</f>
        <v>227890595</v>
      </c>
      <c r="E41" s="26">
        <f>D41-C41</f>
        <v>11936820</v>
      </c>
      <c r="F41" s="27">
        <f>IF(C41=0,0,E41/C41)</f>
        <v>5.5274884636770071E-2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570708175</v>
      </c>
      <c r="D43" s="26">
        <f>D22+D29+D31+D32+D33+D41</f>
        <v>603910842</v>
      </c>
      <c r="E43" s="26">
        <f>D43-C43</f>
        <v>33202667</v>
      </c>
      <c r="F43" s="27">
        <f>IF(C43=0,0,E43/C43)</f>
        <v>5.8178011905997314E-2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18469984</v>
      </c>
      <c r="D49" s="22">
        <v>24562113</v>
      </c>
      <c r="E49" s="22">
        <f t="shared" ref="E49:E56" si="2">D49-C49</f>
        <v>6092129</v>
      </c>
      <c r="F49" s="23">
        <f t="shared" ref="F49:F56" si="3">IF(C49=0,0,E49/C49)</f>
        <v>0.32983943028862395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13268051</v>
      </c>
      <c r="D50" s="22">
        <v>13615151</v>
      </c>
      <c r="E50" s="22">
        <f t="shared" si="2"/>
        <v>347100</v>
      </c>
      <c r="F50" s="23">
        <f t="shared" si="3"/>
        <v>2.6160586811129986E-2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462435</v>
      </c>
      <c r="D51" s="22">
        <v>112434</v>
      </c>
      <c r="E51" s="22">
        <f t="shared" si="2"/>
        <v>-350001</v>
      </c>
      <c r="F51" s="23">
        <f t="shared" si="3"/>
        <v>-0.756865289175776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2675000</v>
      </c>
      <c r="D53" s="22">
        <v>2790000</v>
      </c>
      <c r="E53" s="22">
        <f t="shared" si="2"/>
        <v>115000</v>
      </c>
      <c r="F53" s="23">
        <f t="shared" si="3"/>
        <v>4.2990654205607479E-2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17348147</v>
      </c>
      <c r="D55" s="22">
        <v>23467970</v>
      </c>
      <c r="E55" s="22">
        <f t="shared" si="2"/>
        <v>6119823</v>
      </c>
      <c r="F55" s="23">
        <f t="shared" si="3"/>
        <v>0.35276522616507688</v>
      </c>
    </row>
    <row r="56" spans="1:6" ht="24" customHeight="1" x14ac:dyDescent="0.25">
      <c r="A56" s="24"/>
      <c r="B56" s="25" t="s">
        <v>54</v>
      </c>
      <c r="C56" s="26">
        <f>SUM(C49:C55)</f>
        <v>52223617</v>
      </c>
      <c r="D56" s="26">
        <f>SUM(D49:D55)</f>
        <v>64547668</v>
      </c>
      <c r="E56" s="26">
        <f t="shared" si="2"/>
        <v>12324051</v>
      </c>
      <c r="F56" s="27">
        <f t="shared" si="3"/>
        <v>0.23598616311849865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32430000</v>
      </c>
      <c r="D59" s="22">
        <v>29280314</v>
      </c>
      <c r="E59" s="22">
        <f>D59-C59</f>
        <v>-3149686</v>
      </c>
      <c r="F59" s="23">
        <f>IF(C59=0,0,E59/C59)</f>
        <v>-9.7122602528522978E-2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32430000</v>
      </c>
      <c r="D61" s="26">
        <f>SUM(D59:D60)</f>
        <v>29280314</v>
      </c>
      <c r="E61" s="26">
        <f>D61-C61</f>
        <v>-3149686</v>
      </c>
      <c r="F61" s="27">
        <f>IF(C61=0,0,E61/C61)</f>
        <v>-9.7122602528522978E-2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42786988</v>
      </c>
      <c r="D63" s="22">
        <v>64829371</v>
      </c>
      <c r="E63" s="22">
        <f>D63-C63</f>
        <v>22042383</v>
      </c>
      <c r="F63" s="23">
        <f>IF(C63=0,0,E63/C63)</f>
        <v>0.5151655685602361</v>
      </c>
    </row>
    <row r="64" spans="1:6" ht="24" customHeight="1" x14ac:dyDescent="0.2">
      <c r="A64" s="20">
        <v>4</v>
      </c>
      <c r="B64" s="21" t="s">
        <v>60</v>
      </c>
      <c r="C64" s="22">
        <v>36773008</v>
      </c>
      <c r="D64" s="22">
        <v>40653837</v>
      </c>
      <c r="E64" s="22">
        <f>D64-C64</f>
        <v>3880829</v>
      </c>
      <c r="F64" s="23">
        <f>IF(C64=0,0,E64/C64)</f>
        <v>0.10553471720344444</v>
      </c>
    </row>
    <row r="65" spans="1:6" ht="24" customHeight="1" x14ac:dyDescent="0.25">
      <c r="A65" s="24"/>
      <c r="B65" s="25" t="s">
        <v>61</v>
      </c>
      <c r="C65" s="26">
        <f>SUM(C61:C64)</f>
        <v>111989996</v>
      </c>
      <c r="D65" s="26">
        <f>SUM(D61:D64)</f>
        <v>134763522</v>
      </c>
      <c r="E65" s="26">
        <f>D65-C65</f>
        <v>22773526</v>
      </c>
      <c r="F65" s="27">
        <f>IF(C65=0,0,E65/C65)</f>
        <v>0.20335321737130876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341118049</v>
      </c>
      <c r="D70" s="22">
        <v>336167867</v>
      </c>
      <c r="E70" s="22">
        <f>D70-C70</f>
        <v>-4950182</v>
      </c>
      <c r="F70" s="23">
        <f>IF(C70=0,0,E70/C70)</f>
        <v>-1.4511639048451524E-2</v>
      </c>
    </row>
    <row r="71" spans="1:6" ht="24" customHeight="1" x14ac:dyDescent="0.2">
      <c r="A71" s="20">
        <v>2</v>
      </c>
      <c r="B71" s="21" t="s">
        <v>65</v>
      </c>
      <c r="C71" s="22">
        <v>41782451</v>
      </c>
      <c r="D71" s="22">
        <v>44533261</v>
      </c>
      <c r="E71" s="22">
        <f>D71-C71</f>
        <v>2750810</v>
      </c>
      <c r="F71" s="23">
        <f>IF(C71=0,0,E71/C71)</f>
        <v>6.5836491976021219E-2</v>
      </c>
    </row>
    <row r="72" spans="1:6" ht="24" customHeight="1" x14ac:dyDescent="0.2">
      <c r="A72" s="20">
        <v>3</v>
      </c>
      <c r="B72" s="21" t="s">
        <v>66</v>
      </c>
      <c r="C72" s="22">
        <v>23594062</v>
      </c>
      <c r="D72" s="22">
        <v>23898524</v>
      </c>
      <c r="E72" s="22">
        <f>D72-C72</f>
        <v>304462</v>
      </c>
      <c r="F72" s="23">
        <f>IF(C72=0,0,E72/C72)</f>
        <v>1.2904179026061727E-2</v>
      </c>
    </row>
    <row r="73" spans="1:6" ht="24" customHeight="1" x14ac:dyDescent="0.25">
      <c r="A73" s="20"/>
      <c r="B73" s="25" t="s">
        <v>67</v>
      </c>
      <c r="C73" s="26">
        <f>SUM(C70:C72)</f>
        <v>406494562</v>
      </c>
      <c r="D73" s="26">
        <f>SUM(D70:D72)</f>
        <v>404599652</v>
      </c>
      <c r="E73" s="26">
        <f>D73-C73</f>
        <v>-1894910</v>
      </c>
      <c r="F73" s="27">
        <f>IF(C73=0,0,E73/C73)</f>
        <v>-4.6615875761703302E-3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570708175</v>
      </c>
      <c r="D75" s="26">
        <f>D56+D65+D67+D73</f>
        <v>603910842</v>
      </c>
      <c r="E75" s="26">
        <f>D75-C75</f>
        <v>33202667</v>
      </c>
      <c r="F75" s="27">
        <f>IF(C75=0,0,E75/C75)</f>
        <v>5.8178011905997314E-2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FILING&amp;RGREENWICH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349008000</v>
      </c>
      <c r="D11" s="76">
        <v>359652000</v>
      </c>
      <c r="E11" s="76">
        <v>3579271000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12533000</v>
      </c>
      <c r="D12" s="185">
        <v>13726000</v>
      </c>
      <c r="E12" s="185">
        <v>207633000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361541000</v>
      </c>
      <c r="D13" s="76">
        <f>+D11+D12</f>
        <v>373378000</v>
      </c>
      <c r="E13" s="76">
        <f>+E11+E12</f>
        <v>3786904000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336407000</v>
      </c>
      <c r="D14" s="185">
        <v>346728000</v>
      </c>
      <c r="E14" s="185">
        <v>3647566000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25134000</v>
      </c>
      <c r="D15" s="76">
        <f>+D13-D14</f>
        <v>26650000</v>
      </c>
      <c r="E15" s="76">
        <f>+E13-E14</f>
        <v>139338000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534000</v>
      </c>
      <c r="D16" s="185">
        <v>-9470000</v>
      </c>
      <c r="E16" s="185">
        <v>320570000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25668000</v>
      </c>
      <c r="D17" s="76">
        <f>D15+D16</f>
        <v>17180000</v>
      </c>
      <c r="E17" s="76">
        <f>E15+E16</f>
        <v>459908000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6.9416557343091906E-2</v>
      </c>
      <c r="D20" s="189">
        <f>IF(+D27=0,0,+D24/+D27)</f>
        <v>7.3232795102058768E-2</v>
      </c>
      <c r="E20" s="189">
        <f>IF(+E27=0,0,+E24/+E27)</f>
        <v>3.3923038831164848E-2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1.4748325623144376E-3</v>
      </c>
      <c r="D21" s="189">
        <f>IF(+D27=0,0,+D26/+D27)</f>
        <v>-2.602306077360212E-2</v>
      </c>
      <c r="E21" s="189">
        <f>IF(+E27=0,0,+E26/+E27)</f>
        <v>7.8045533580979459E-2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7.0891389905406332E-2</v>
      </c>
      <c r="D22" s="189">
        <f>IF(+D27=0,0,+D28/+D27)</f>
        <v>4.720973432845664E-2</v>
      </c>
      <c r="E22" s="189">
        <f>IF(+E27=0,0,+E28/+E27)</f>
        <v>0.11196857241214431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25134000</v>
      </c>
      <c r="D24" s="76">
        <f>+D15</f>
        <v>26650000</v>
      </c>
      <c r="E24" s="76">
        <f>+E15</f>
        <v>139338000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361541000</v>
      </c>
      <c r="D25" s="76">
        <f>+D13</f>
        <v>373378000</v>
      </c>
      <c r="E25" s="76">
        <f>+E13</f>
        <v>3786904000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534000</v>
      </c>
      <c r="D26" s="76">
        <f>+D16</f>
        <v>-9470000</v>
      </c>
      <c r="E26" s="76">
        <f>+E16</f>
        <v>320570000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362075000</v>
      </c>
      <c r="D27" s="76">
        <f>SUM(D25:D26)</f>
        <v>363908000</v>
      </c>
      <c r="E27" s="76">
        <f>SUM(E25:E26)</f>
        <v>4107474000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25668000</v>
      </c>
      <c r="D28" s="76">
        <f>+D17</f>
        <v>17180000</v>
      </c>
      <c r="E28" s="76">
        <f>+E17</f>
        <v>459908000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367460000</v>
      </c>
      <c r="D31" s="76">
        <v>373318000</v>
      </c>
      <c r="E31" s="76">
        <v>2147552000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434782000</v>
      </c>
      <c r="D32" s="76">
        <v>438694000</v>
      </c>
      <c r="E32" s="76">
        <v>2421056000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24644000</v>
      </c>
      <c r="D33" s="76">
        <f>+D32-C32</f>
        <v>3912000</v>
      </c>
      <c r="E33" s="76">
        <f>+E32-D32</f>
        <v>1982362000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1.06</v>
      </c>
      <c r="D34" s="193">
        <f>IF(C32=0,0,+D33/C32)</f>
        <v>8.9976125966576351E-3</v>
      </c>
      <c r="E34" s="193">
        <f>IF(D32=0,0,+E33/D32)</f>
        <v>4.5187807446648458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2.4851209554978237</v>
      </c>
      <c r="D38" s="338">
        <f>IF(+D40=0,0,+D39/+D40)</f>
        <v>2.9172587669035068</v>
      </c>
      <c r="E38" s="338">
        <f>IF(+E40=0,0,+E39/+E40)</f>
        <v>2.8479618982952744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147313000</v>
      </c>
      <c r="D39" s="341">
        <v>165464000</v>
      </c>
      <c r="E39" s="341">
        <v>2046853000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59278000</v>
      </c>
      <c r="D40" s="341">
        <v>56719000</v>
      </c>
      <c r="E40" s="341">
        <v>718708000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93.993774763128286</v>
      </c>
      <c r="D42" s="343">
        <f>IF((D48/365)=0,0,+D45/(D48/365))</f>
        <v>118.05308620094587</v>
      </c>
      <c r="E42" s="343">
        <f>IF((E48/365)=0,0,+E45/(E48/365))</f>
        <v>162.78980862969041</v>
      </c>
    </row>
    <row r="43" spans="1:14" ht="24" customHeight="1" x14ac:dyDescent="0.2">
      <c r="A43" s="339">
        <v>5</v>
      </c>
      <c r="B43" s="344" t="s">
        <v>16</v>
      </c>
      <c r="C43" s="345">
        <v>47945000</v>
      </c>
      <c r="D43" s="345">
        <v>31360000</v>
      </c>
      <c r="E43" s="345">
        <v>169479000</v>
      </c>
    </row>
    <row r="44" spans="1:14" ht="24" customHeight="1" x14ac:dyDescent="0.2">
      <c r="A44" s="339">
        <v>6</v>
      </c>
      <c r="B44" s="346" t="s">
        <v>17</v>
      </c>
      <c r="C44" s="345">
        <v>31934000</v>
      </c>
      <c r="D44" s="345">
        <v>72659000</v>
      </c>
      <c r="E44" s="345">
        <v>1371905000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79879000</v>
      </c>
      <c r="D45" s="341">
        <f>+D43+D44</f>
        <v>104019000</v>
      </c>
      <c r="E45" s="341">
        <f>+E43+E44</f>
        <v>1541384000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336407000</v>
      </c>
      <c r="D46" s="341">
        <f>+D14</f>
        <v>346728000</v>
      </c>
      <c r="E46" s="341">
        <f>+E14</f>
        <v>3647566000</v>
      </c>
    </row>
    <row r="47" spans="1:14" ht="24" customHeight="1" x14ac:dyDescent="0.2">
      <c r="A47" s="339">
        <v>9</v>
      </c>
      <c r="B47" s="340" t="s">
        <v>356</v>
      </c>
      <c r="C47" s="341">
        <v>26218000</v>
      </c>
      <c r="D47" s="341">
        <v>25119000</v>
      </c>
      <c r="E47" s="341">
        <v>191544000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310189000</v>
      </c>
      <c r="D48" s="341">
        <f>+D46-D47</f>
        <v>321609000</v>
      </c>
      <c r="E48" s="341">
        <f>+E46-E47</f>
        <v>3456022000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41.502617160638152</v>
      </c>
      <c r="D50" s="350">
        <f>IF((D55/365)=0,0,+D54/(D55/365))</f>
        <v>41.423504457086295</v>
      </c>
      <c r="E50" s="350">
        <f>IF((E55/365)=0,0,+E54/(E55/365))</f>
        <v>37.819662160255533</v>
      </c>
    </row>
    <row r="51" spans="1:5" ht="24" customHeight="1" x14ac:dyDescent="0.2">
      <c r="A51" s="339">
        <v>12</v>
      </c>
      <c r="B51" s="344" t="s">
        <v>359</v>
      </c>
      <c r="C51" s="351">
        <v>40615000</v>
      </c>
      <c r="D51" s="351">
        <v>41279000</v>
      </c>
      <c r="E51" s="351">
        <v>370868000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930766</v>
      </c>
      <c r="D53" s="341">
        <v>462435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39684234</v>
      </c>
      <c r="D54" s="352">
        <f>+D51+D52-D53</f>
        <v>40816565</v>
      </c>
      <c r="E54" s="352">
        <f>+E51+E52-E53</f>
        <v>370868000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349008000</v>
      </c>
      <c r="D55" s="341">
        <f>+D11</f>
        <v>359652000</v>
      </c>
      <c r="E55" s="341">
        <f>+E11</f>
        <v>3579271000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69.752537968786768</v>
      </c>
      <c r="D57" s="355">
        <f>IF((D61/365)=0,0,+D58/(D61/365))</f>
        <v>64.371441719603624</v>
      </c>
      <c r="E57" s="355">
        <f>IF((E61/365)=0,0,+E58/(E61/365))</f>
        <v>75.904730930532267</v>
      </c>
    </row>
    <row r="58" spans="1:5" ht="24" customHeight="1" x14ac:dyDescent="0.2">
      <c r="A58" s="339">
        <v>18</v>
      </c>
      <c r="B58" s="340" t="s">
        <v>54</v>
      </c>
      <c r="C58" s="353">
        <f>+C40</f>
        <v>59278000</v>
      </c>
      <c r="D58" s="353">
        <f>+D40</f>
        <v>56719000</v>
      </c>
      <c r="E58" s="353">
        <f>+E40</f>
        <v>718708000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336407000</v>
      </c>
      <c r="D59" s="353">
        <f t="shared" si="0"/>
        <v>346728000</v>
      </c>
      <c r="E59" s="353">
        <f t="shared" si="0"/>
        <v>3647566000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26218000</v>
      </c>
      <c r="D60" s="356">
        <f t="shared" si="0"/>
        <v>25119000</v>
      </c>
      <c r="E60" s="356">
        <f t="shared" si="0"/>
        <v>191544000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310189000</v>
      </c>
      <c r="D61" s="353">
        <f>+D59-D60</f>
        <v>321609000</v>
      </c>
      <c r="E61" s="353">
        <f>+E59-E60</f>
        <v>3456022000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71.858854640112384</v>
      </c>
      <c r="D65" s="357">
        <f>IF(D67=0,0,(D66/D67)*100)</f>
        <v>72.065077938782451</v>
      </c>
      <c r="E65" s="357">
        <f>IF(E67=0,0,(E66/E67)*100)</f>
        <v>47.585555710173914</v>
      </c>
    </row>
    <row r="66" spans="1:5" ht="24" customHeight="1" x14ac:dyDescent="0.2">
      <c r="A66" s="339">
        <v>2</v>
      </c>
      <c r="B66" s="340" t="s">
        <v>67</v>
      </c>
      <c r="C66" s="353">
        <f>+C32</f>
        <v>434782000</v>
      </c>
      <c r="D66" s="353">
        <f>+D32</f>
        <v>438694000</v>
      </c>
      <c r="E66" s="353">
        <f>+E32</f>
        <v>2421056000</v>
      </c>
    </row>
    <row r="67" spans="1:5" ht="24" customHeight="1" x14ac:dyDescent="0.2">
      <c r="A67" s="339">
        <v>3</v>
      </c>
      <c r="B67" s="340" t="s">
        <v>43</v>
      </c>
      <c r="C67" s="353">
        <v>605050000</v>
      </c>
      <c r="D67" s="353">
        <v>608747000</v>
      </c>
      <c r="E67" s="353">
        <v>5087796000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54.973883008592651</v>
      </c>
      <c r="D69" s="357">
        <f>IF(D75=0,0,(D72/D75)*100)</f>
        <v>47.447531660478525</v>
      </c>
      <c r="E69" s="357">
        <f>IF(E75=0,0,(E72/E75)*100)</f>
        <v>37.713452740085671</v>
      </c>
    </row>
    <row r="70" spans="1:5" ht="24" customHeight="1" x14ac:dyDescent="0.2">
      <c r="A70" s="339">
        <v>5</v>
      </c>
      <c r="B70" s="340" t="s">
        <v>366</v>
      </c>
      <c r="C70" s="353">
        <f>+C28</f>
        <v>25668000</v>
      </c>
      <c r="D70" s="353">
        <f>+D28</f>
        <v>17180000</v>
      </c>
      <c r="E70" s="353">
        <f>+E28</f>
        <v>459908000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26218000</v>
      </c>
      <c r="D71" s="356">
        <f>+D47</f>
        <v>25119000</v>
      </c>
      <c r="E71" s="356">
        <f>+E47</f>
        <v>191544000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51886000</v>
      </c>
      <c r="D72" s="353">
        <f>+D70+D71</f>
        <v>42299000</v>
      </c>
      <c r="E72" s="353">
        <f>+E70+E71</f>
        <v>651452000</v>
      </c>
    </row>
    <row r="73" spans="1:5" ht="24" customHeight="1" x14ac:dyDescent="0.2">
      <c r="A73" s="339">
        <v>8</v>
      </c>
      <c r="B73" s="340" t="s">
        <v>54</v>
      </c>
      <c r="C73" s="341">
        <f>+C40</f>
        <v>59278000</v>
      </c>
      <c r="D73" s="341">
        <f>+D40</f>
        <v>56719000</v>
      </c>
      <c r="E73" s="341">
        <f>+E40</f>
        <v>718708000</v>
      </c>
    </row>
    <row r="74" spans="1:5" ht="24" customHeight="1" x14ac:dyDescent="0.2">
      <c r="A74" s="339">
        <v>9</v>
      </c>
      <c r="B74" s="340" t="s">
        <v>58</v>
      </c>
      <c r="C74" s="353">
        <v>35105000</v>
      </c>
      <c r="D74" s="353">
        <v>32430000</v>
      </c>
      <c r="E74" s="353">
        <v>1008665000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94383000</v>
      </c>
      <c r="D75" s="341">
        <f>+D73+D74</f>
        <v>89149000</v>
      </c>
      <c r="E75" s="341">
        <f>+E73+E74</f>
        <v>1727373000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7.4709451421299162</v>
      </c>
      <c r="D77" s="359">
        <f>IF(D80=0,0,(D78/D80)*100)</f>
        <v>6.8835380918823921</v>
      </c>
      <c r="E77" s="359">
        <f>IF(E80=0,0,(E78/E80)*100)</f>
        <v>29.409535061306734</v>
      </c>
    </row>
    <row r="78" spans="1:5" ht="24" customHeight="1" x14ac:dyDescent="0.2">
      <c r="A78" s="339">
        <v>12</v>
      </c>
      <c r="B78" s="340" t="s">
        <v>58</v>
      </c>
      <c r="C78" s="341">
        <f>+C74</f>
        <v>35105000</v>
      </c>
      <c r="D78" s="341">
        <f>+D74</f>
        <v>32430000</v>
      </c>
      <c r="E78" s="341">
        <f>+E74</f>
        <v>1008665000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434782000</v>
      </c>
      <c r="D79" s="341">
        <f>+D32</f>
        <v>438694000</v>
      </c>
      <c r="E79" s="341">
        <f>+E32</f>
        <v>2421056000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469887000</v>
      </c>
      <c r="D80" s="341">
        <f>+D78+D79</f>
        <v>471124000</v>
      </c>
      <c r="E80" s="341">
        <f>+E78+E79</f>
        <v>3429721000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FILING&amp;R&amp;8YALE NEW HAVEN HEALTH SERVICES CORP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34000</v>
      </c>
      <c r="D11" s="376">
        <v>7148</v>
      </c>
      <c r="E11" s="376">
        <v>7387</v>
      </c>
      <c r="F11" s="377">
        <v>124</v>
      </c>
      <c r="G11" s="377">
        <v>124</v>
      </c>
      <c r="H11" s="378">
        <f>IF(F11=0,0,$C11/(F11*365))</f>
        <v>0.75121520106053907</v>
      </c>
      <c r="I11" s="378">
        <f>IF(G11=0,0,$C11/(G11*365))</f>
        <v>0.75121520106053907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2107</v>
      </c>
      <c r="D13" s="376">
        <v>164</v>
      </c>
      <c r="E13" s="376">
        <v>0</v>
      </c>
      <c r="F13" s="377">
        <v>10</v>
      </c>
      <c r="G13" s="377">
        <v>10</v>
      </c>
      <c r="H13" s="378">
        <f>IF(F13=0,0,$C13/(F13*365))</f>
        <v>0.57726027397260271</v>
      </c>
      <c r="I13" s="378">
        <f>IF(G13=0,0,$C13/(G13*365))</f>
        <v>0.57726027397260271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9101</v>
      </c>
      <c r="D21" s="376">
        <v>2873</v>
      </c>
      <c r="E21" s="376">
        <v>2866</v>
      </c>
      <c r="F21" s="377">
        <v>30</v>
      </c>
      <c r="G21" s="377">
        <v>30</v>
      </c>
      <c r="H21" s="378">
        <f>IF(F21=0,0,$C21/(F21*365))</f>
        <v>0.83114155251141553</v>
      </c>
      <c r="I21" s="378">
        <f>IF(G21=0,0,$C21/(G21*365))</f>
        <v>0.83114155251141553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6512</v>
      </c>
      <c r="D23" s="376">
        <v>2519</v>
      </c>
      <c r="E23" s="376">
        <v>2516</v>
      </c>
      <c r="F23" s="377">
        <v>22</v>
      </c>
      <c r="G23" s="377">
        <v>22</v>
      </c>
      <c r="H23" s="378">
        <f>IF(F23=0,0,$C23/(F23*365))</f>
        <v>0.81095890410958904</v>
      </c>
      <c r="I23" s="378">
        <f>IF(G23=0,0,$C23/(G23*365))</f>
        <v>0.81095890410958904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2553</v>
      </c>
      <c r="D25" s="376">
        <v>242</v>
      </c>
      <c r="E25" s="376">
        <v>0</v>
      </c>
      <c r="F25" s="377">
        <v>10</v>
      </c>
      <c r="G25" s="377">
        <v>10</v>
      </c>
      <c r="H25" s="378">
        <f>IF(F25=0,0,$C25/(F25*365))</f>
        <v>0.69945205479452055</v>
      </c>
      <c r="I25" s="378">
        <f>IF(G25=0,0,$C25/(G25*365))</f>
        <v>0.69945205479452055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554</v>
      </c>
      <c r="D27" s="376">
        <v>295</v>
      </c>
      <c r="E27" s="376">
        <v>305</v>
      </c>
      <c r="F27" s="377">
        <v>10</v>
      </c>
      <c r="G27" s="377">
        <v>10</v>
      </c>
      <c r="H27" s="378">
        <f>IF(F27=0,0,$C27/(F27*365))</f>
        <v>0.15178082191780823</v>
      </c>
      <c r="I27" s="378">
        <f>IF(G27=0,0,$C27/(G27*365))</f>
        <v>0.15178082191780823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48315</v>
      </c>
      <c r="D31" s="384">
        <f>SUM(D10:D29)-D13-D17-D23</f>
        <v>10558</v>
      </c>
      <c r="E31" s="384">
        <f>SUM(E10:E29)-E17-E23</f>
        <v>10558</v>
      </c>
      <c r="F31" s="384">
        <f>SUM(F10:F29)-F17-F23</f>
        <v>184</v>
      </c>
      <c r="G31" s="384">
        <f>SUM(G10:G29)-G17-G23</f>
        <v>184</v>
      </c>
      <c r="H31" s="385">
        <f>IF(F31=0,0,$C31/(F31*365))</f>
        <v>0.71940142942227514</v>
      </c>
      <c r="I31" s="385">
        <f>IF(G31=0,0,$C31/(G31*365))</f>
        <v>0.71940142942227514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54827</v>
      </c>
      <c r="D33" s="384">
        <f>SUM(D10:D29)-D13-D17</f>
        <v>13077</v>
      </c>
      <c r="E33" s="384">
        <f>SUM(E10:E29)-E17</f>
        <v>13074</v>
      </c>
      <c r="F33" s="384">
        <f>SUM(F10:F29)-F17</f>
        <v>206</v>
      </c>
      <c r="G33" s="384">
        <f>SUM(G10:G29)-G17</f>
        <v>206</v>
      </c>
      <c r="H33" s="385">
        <f>IF(F33=0,0,$C33/(F33*365))</f>
        <v>0.72917941215587179</v>
      </c>
      <c r="I33" s="385">
        <f>IF(G33=0,0,$C33/(G33*365))</f>
        <v>0.72917941215587179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54827</v>
      </c>
      <c r="D36" s="384">
        <f t="shared" si="1"/>
        <v>13077</v>
      </c>
      <c r="E36" s="384">
        <f t="shared" si="1"/>
        <v>13074</v>
      </c>
      <c r="F36" s="384">
        <f t="shared" si="1"/>
        <v>206</v>
      </c>
      <c r="G36" s="384">
        <f t="shared" si="1"/>
        <v>206</v>
      </c>
      <c r="H36" s="387">
        <f t="shared" si="1"/>
        <v>0.72917941215587179</v>
      </c>
      <c r="I36" s="387">
        <f t="shared" si="1"/>
        <v>0.72917941215587179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53840</v>
      </c>
      <c r="D37" s="384">
        <v>13296</v>
      </c>
      <c r="E37" s="384">
        <v>12998</v>
      </c>
      <c r="F37" s="386">
        <v>206</v>
      </c>
      <c r="G37" s="386">
        <v>206</v>
      </c>
      <c r="H37" s="385">
        <f>IF(F37=0,0,$C37/(F37*365))</f>
        <v>0.71605266657800237</v>
      </c>
      <c r="I37" s="385">
        <f>IF(G37=0,0,$C37/(G37*365))</f>
        <v>0.71605266657800237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987</v>
      </c>
      <c r="D38" s="384">
        <f t="shared" si="2"/>
        <v>-219</v>
      </c>
      <c r="E38" s="384">
        <f t="shared" si="2"/>
        <v>76</v>
      </c>
      <c r="F38" s="384">
        <f t="shared" si="2"/>
        <v>0</v>
      </c>
      <c r="G38" s="384">
        <f t="shared" si="2"/>
        <v>0</v>
      </c>
      <c r="H38" s="387">
        <f t="shared" si="2"/>
        <v>1.3126745577869414E-2</v>
      </c>
      <c r="I38" s="387">
        <f t="shared" si="2"/>
        <v>1.3126745577869414E-2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1.8332095096582467E-2</v>
      </c>
      <c r="D40" s="389">
        <f t="shared" si="3"/>
        <v>-1.6471119133574009E-2</v>
      </c>
      <c r="E40" s="389">
        <f t="shared" si="3"/>
        <v>5.847053392829666E-3</v>
      </c>
      <c r="F40" s="389">
        <f t="shared" si="3"/>
        <v>0</v>
      </c>
      <c r="G40" s="389">
        <f t="shared" si="3"/>
        <v>0</v>
      </c>
      <c r="H40" s="389">
        <f t="shared" si="3"/>
        <v>1.8332095096582492E-2</v>
      </c>
      <c r="I40" s="389">
        <f t="shared" si="3"/>
        <v>1.8332095096582492E-2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206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6" fitToHeight="0" orientation="landscape" horizontalDpi="1200" verticalDpi="1200" r:id="rId1"/>
  <headerFooter>
    <oddHeader>&amp;LOFFICE OF HEALTH CARE ACCESS&amp;CTWELVE MONTHS ACTUAL FILING&amp;RGREENWICH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5877</v>
      </c>
      <c r="D12" s="409">
        <v>5430</v>
      </c>
      <c r="E12" s="409">
        <f>+D12-C12</f>
        <v>-447</v>
      </c>
      <c r="F12" s="410">
        <f>IF(C12=0,0,+E12/C12)</f>
        <v>-7.6059213884635019E-2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5328</v>
      </c>
      <c r="D13" s="409">
        <v>5276</v>
      </c>
      <c r="E13" s="409">
        <f>+D13-C13</f>
        <v>-52</v>
      </c>
      <c r="F13" s="410">
        <f>IF(C13=0,0,+E13/C13)</f>
        <v>-9.7597597597597601E-3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7298</v>
      </c>
      <c r="D14" s="409">
        <v>7166</v>
      </c>
      <c r="E14" s="409">
        <f>+D14-C14</f>
        <v>-132</v>
      </c>
      <c r="F14" s="410">
        <f>IF(C14=0,0,+E14/C14)</f>
        <v>-1.8087147163606467E-2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564</v>
      </c>
      <c r="D15" s="409">
        <v>292</v>
      </c>
      <c r="E15" s="409">
        <f>+D15-C15</f>
        <v>-272</v>
      </c>
      <c r="F15" s="410">
        <f>IF(C15=0,0,+E15/C15)</f>
        <v>-0.48226950354609927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19067</v>
      </c>
      <c r="D16" s="401">
        <f>SUM(D12:D15)</f>
        <v>18164</v>
      </c>
      <c r="E16" s="401">
        <f>+D16-C16</f>
        <v>-903</v>
      </c>
      <c r="F16" s="402">
        <f>IF(C16=0,0,+E16/C16)</f>
        <v>-4.7359311900141608E-2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1164</v>
      </c>
      <c r="D19" s="409">
        <v>1114</v>
      </c>
      <c r="E19" s="409">
        <f>+D19-C19</f>
        <v>-50</v>
      </c>
      <c r="F19" s="410">
        <f>IF(C19=0,0,+E19/C19)</f>
        <v>-4.29553264604811E-2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5583</v>
      </c>
      <c r="D20" s="409">
        <v>5944</v>
      </c>
      <c r="E20" s="409">
        <f>+D20-C20</f>
        <v>361</v>
      </c>
      <c r="F20" s="410">
        <f>IF(C20=0,0,+E20/C20)</f>
        <v>6.4660576750850796E-2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133</v>
      </c>
      <c r="D21" s="409">
        <v>144</v>
      </c>
      <c r="E21" s="409">
        <f>+D21-C21</f>
        <v>11</v>
      </c>
      <c r="F21" s="410">
        <f>IF(C21=0,0,+E21/C21)</f>
        <v>8.2706766917293228E-2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1739</v>
      </c>
      <c r="D22" s="409">
        <v>1501</v>
      </c>
      <c r="E22" s="409">
        <f>+D22-C22</f>
        <v>-238</v>
      </c>
      <c r="F22" s="410">
        <f>IF(C22=0,0,+E22/C22)</f>
        <v>-0.13686026451983899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8619</v>
      </c>
      <c r="D23" s="401">
        <f>SUM(D19:D22)</f>
        <v>8703</v>
      </c>
      <c r="E23" s="401">
        <f>+D23-C23</f>
        <v>84</v>
      </c>
      <c r="F23" s="402">
        <f>IF(C23=0,0,+E23/C23)</f>
        <v>9.7459101983988859E-3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3</v>
      </c>
      <c r="D27" s="409">
        <v>2</v>
      </c>
      <c r="E27" s="409">
        <f>+D27-C27</f>
        <v>-1</v>
      </c>
      <c r="F27" s="410">
        <f>IF(C27=0,0,+E27/C27)</f>
        <v>-0.33333333333333331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3</v>
      </c>
      <c r="D30" s="401">
        <f>SUM(D26:D29)</f>
        <v>2</v>
      </c>
      <c r="E30" s="401">
        <f>+D30-C30</f>
        <v>-1</v>
      </c>
      <c r="F30" s="402">
        <f>IF(C30=0,0,+E30/C30)</f>
        <v>-0.33333333333333331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16</v>
      </c>
      <c r="D33" s="409">
        <v>10</v>
      </c>
      <c r="E33" s="409">
        <f>+D33-C33</f>
        <v>-6</v>
      </c>
      <c r="F33" s="410">
        <f>IF(C33=0,0,+E33/C33)</f>
        <v>-0.375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661</v>
      </c>
      <c r="D34" s="409">
        <v>628</v>
      </c>
      <c r="E34" s="409">
        <f>+D34-C34</f>
        <v>-33</v>
      </c>
      <c r="F34" s="410">
        <f>IF(C34=0,0,+E34/C34)</f>
        <v>-4.9924357034795766E-2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1</v>
      </c>
      <c r="E35" s="409">
        <f>+D35-C35</f>
        <v>1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677</v>
      </c>
      <c r="D37" s="401">
        <f>SUM(D33:D36)</f>
        <v>639</v>
      </c>
      <c r="E37" s="401">
        <f>+D37-C37</f>
        <v>-38</v>
      </c>
      <c r="F37" s="402">
        <f>IF(C37=0,0,+E37/C37)</f>
        <v>-5.6129985228951254E-2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266</v>
      </c>
      <c r="D43" s="409">
        <v>232</v>
      </c>
      <c r="E43" s="409">
        <f>+D43-C43</f>
        <v>-34</v>
      </c>
      <c r="F43" s="410">
        <f>IF(C43=0,0,+E43/C43)</f>
        <v>-0.12781954887218044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5216</v>
      </c>
      <c r="D44" s="409">
        <v>4784</v>
      </c>
      <c r="E44" s="409">
        <f>+D44-C44</f>
        <v>-432</v>
      </c>
      <c r="F44" s="410">
        <f>IF(C44=0,0,+E44/C44)</f>
        <v>-8.2822085889570546E-2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5482</v>
      </c>
      <c r="D45" s="401">
        <f>SUM(D43:D44)</f>
        <v>5016</v>
      </c>
      <c r="E45" s="401">
        <f>+D45-C45</f>
        <v>-466</v>
      </c>
      <c r="F45" s="402">
        <f>IF(C45=0,0,+E45/C45)</f>
        <v>-8.5005472455308276E-2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165</v>
      </c>
      <c r="D48" s="409">
        <v>170</v>
      </c>
      <c r="E48" s="409">
        <f>+D48-C48</f>
        <v>5</v>
      </c>
      <c r="F48" s="410">
        <f>IF(C48=0,0,+E48/C48)</f>
        <v>3.0303030303030304E-2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84</v>
      </c>
      <c r="D49" s="409">
        <v>109</v>
      </c>
      <c r="E49" s="409">
        <f>+D49-C49</f>
        <v>25</v>
      </c>
      <c r="F49" s="410">
        <f>IF(C49=0,0,+E49/C49)</f>
        <v>0.29761904761904762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249</v>
      </c>
      <c r="D50" s="401">
        <f>SUM(D48:D49)</f>
        <v>279</v>
      </c>
      <c r="E50" s="401">
        <f>+D50-C50</f>
        <v>30</v>
      </c>
      <c r="F50" s="402">
        <f>IF(C50=0,0,+E50/C50)</f>
        <v>0.12048192771084337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36</v>
      </c>
      <c r="D53" s="409">
        <v>44</v>
      </c>
      <c r="E53" s="409">
        <f>+D53-C53</f>
        <v>8</v>
      </c>
      <c r="F53" s="410">
        <f>IF(C53=0,0,+E53/C53)</f>
        <v>0.22222222222222221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6</v>
      </c>
      <c r="D54" s="409">
        <v>0</v>
      </c>
      <c r="E54" s="409">
        <f>+D54-C54</f>
        <v>-6</v>
      </c>
      <c r="F54" s="410">
        <f>IF(C54=0,0,+E54/C54)</f>
        <v>-1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42</v>
      </c>
      <c r="D55" s="401">
        <f>SUM(D53:D54)</f>
        <v>44</v>
      </c>
      <c r="E55" s="401">
        <f>+D55-C55</f>
        <v>2</v>
      </c>
      <c r="F55" s="402">
        <f>IF(C55=0,0,+E55/C55)</f>
        <v>4.7619047619047616E-2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4</v>
      </c>
      <c r="D58" s="409">
        <v>2</v>
      </c>
      <c r="E58" s="409">
        <f>+D58-C58</f>
        <v>-2</v>
      </c>
      <c r="F58" s="410">
        <f>IF(C58=0,0,+E58/C58)</f>
        <v>-0.5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</v>
      </c>
      <c r="D59" s="409">
        <v>2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6</v>
      </c>
      <c r="D60" s="401">
        <f>SUM(D58:D59)</f>
        <v>4</v>
      </c>
      <c r="E60" s="401">
        <f>SUM(E58:E59)</f>
        <v>-2</v>
      </c>
      <c r="F60" s="402">
        <f>IF(C60=0,0,+E60/C60)</f>
        <v>-0.33333333333333331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2429</v>
      </c>
      <c r="D63" s="409">
        <v>2287</v>
      </c>
      <c r="E63" s="409">
        <f>+D63-C63</f>
        <v>-142</v>
      </c>
      <c r="F63" s="410">
        <f>IF(C63=0,0,+E63/C63)</f>
        <v>-5.8460271716755864E-2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4939</v>
      </c>
      <c r="D64" s="409">
        <v>5484</v>
      </c>
      <c r="E64" s="409">
        <f>+D64-C64</f>
        <v>545</v>
      </c>
      <c r="F64" s="410">
        <f>IF(C64=0,0,+E64/C64)</f>
        <v>0.11034622393197004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7368</v>
      </c>
      <c r="D65" s="401">
        <f>SUM(D63:D64)</f>
        <v>7771</v>
      </c>
      <c r="E65" s="401">
        <f>+D65-C65</f>
        <v>403</v>
      </c>
      <c r="F65" s="402">
        <f>IF(C65=0,0,+E65/C65)</f>
        <v>5.4695982627578715E-2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190</v>
      </c>
      <c r="D68" s="409">
        <v>152</v>
      </c>
      <c r="E68" s="409">
        <f>+D68-C68</f>
        <v>-38</v>
      </c>
      <c r="F68" s="410">
        <f>IF(C68=0,0,+E68/C68)</f>
        <v>-0.2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2371</v>
      </c>
      <c r="D69" s="409">
        <v>1734</v>
      </c>
      <c r="E69" s="409">
        <f>+D69-C69</f>
        <v>-637</v>
      </c>
      <c r="F69" s="412">
        <f>IF(C69=0,0,+E69/C69)</f>
        <v>-0.26866301138760018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2561</v>
      </c>
      <c r="D70" s="401">
        <f>SUM(D68:D69)</f>
        <v>1886</v>
      </c>
      <c r="E70" s="401">
        <f>+D70-C70</f>
        <v>-675</v>
      </c>
      <c r="F70" s="402">
        <f>IF(C70=0,0,+E70/C70)</f>
        <v>-0.2635689183912534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7846</v>
      </c>
      <c r="D73" s="376">
        <v>8665</v>
      </c>
      <c r="E73" s="409">
        <f>+D73-C73</f>
        <v>819</v>
      </c>
      <c r="F73" s="410">
        <f>IF(C73=0,0,+E73/C73)</f>
        <v>0.10438439969411165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31400</v>
      </c>
      <c r="D74" s="376">
        <v>30295</v>
      </c>
      <c r="E74" s="409">
        <f>+D74-C74</f>
        <v>-1105</v>
      </c>
      <c r="F74" s="410">
        <f>IF(C74=0,0,+E74/C74)</f>
        <v>-3.519108280254777E-2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39246</v>
      </c>
      <c r="D75" s="401">
        <f>SUM(D73:D74)</f>
        <v>38960</v>
      </c>
      <c r="E75" s="401">
        <f>SUM(E73:E74)</f>
        <v>-286</v>
      </c>
      <c r="F75" s="402">
        <f>IF(C75=0,0,+E75/C75)</f>
        <v>-7.2873668654130355E-3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2643</v>
      </c>
      <c r="D79" s="376">
        <v>3249</v>
      </c>
      <c r="E79" s="409">
        <f t="shared" ref="E79:E92" si="0">+D79-C79</f>
        <v>606</v>
      </c>
      <c r="F79" s="410">
        <f t="shared" ref="F79:F92" si="1">IF(C79=0,0,+E79/C79)</f>
        <v>0.22928490351872871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6822</v>
      </c>
      <c r="D81" s="376">
        <v>7162</v>
      </c>
      <c r="E81" s="409">
        <f t="shared" si="0"/>
        <v>340</v>
      </c>
      <c r="F81" s="410">
        <f t="shared" si="1"/>
        <v>4.9838756962767516E-2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9244</v>
      </c>
      <c r="D85" s="376">
        <v>9144</v>
      </c>
      <c r="E85" s="409">
        <f t="shared" si="0"/>
        <v>-100</v>
      </c>
      <c r="F85" s="410">
        <f t="shared" si="1"/>
        <v>-1.0817827780181739E-2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2902</v>
      </c>
      <c r="D91" s="376">
        <v>3090</v>
      </c>
      <c r="E91" s="409">
        <f t="shared" si="0"/>
        <v>188</v>
      </c>
      <c r="F91" s="410">
        <f t="shared" si="1"/>
        <v>6.4782908339076503E-2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21611</v>
      </c>
      <c r="D92" s="381">
        <f>SUM(D79:D91)</f>
        <v>22645</v>
      </c>
      <c r="E92" s="401">
        <f t="shared" si="0"/>
        <v>1034</v>
      </c>
      <c r="F92" s="402">
        <f t="shared" si="1"/>
        <v>4.7846004349636762E-2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44772</v>
      </c>
      <c r="D95" s="414">
        <v>46963</v>
      </c>
      <c r="E95" s="415">
        <f t="shared" ref="E95:E100" si="2">+D95-C95</f>
        <v>2191</v>
      </c>
      <c r="F95" s="412">
        <f t="shared" ref="F95:F100" si="3">IF(C95=0,0,+E95/C95)</f>
        <v>4.8936835522201377E-2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1934</v>
      </c>
      <c r="D96" s="414">
        <v>2160</v>
      </c>
      <c r="E96" s="409">
        <f t="shared" si="2"/>
        <v>226</v>
      </c>
      <c r="F96" s="410">
        <f t="shared" si="3"/>
        <v>0.11685625646328852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10524</v>
      </c>
      <c r="D97" s="414">
        <v>10227</v>
      </c>
      <c r="E97" s="409">
        <f t="shared" si="2"/>
        <v>-297</v>
      </c>
      <c r="F97" s="410">
        <f t="shared" si="3"/>
        <v>-2.8221208665906498E-2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3920</v>
      </c>
      <c r="D98" s="414">
        <v>3106</v>
      </c>
      <c r="E98" s="409">
        <f t="shared" si="2"/>
        <v>-814</v>
      </c>
      <c r="F98" s="410">
        <f t="shared" si="3"/>
        <v>-0.20765306122448979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170973</v>
      </c>
      <c r="D99" s="414">
        <v>164871</v>
      </c>
      <c r="E99" s="409">
        <f t="shared" si="2"/>
        <v>-6102</v>
      </c>
      <c r="F99" s="410">
        <f t="shared" si="3"/>
        <v>-3.5689845765120812E-2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232123</v>
      </c>
      <c r="D100" s="381">
        <f>SUM(D95:D99)</f>
        <v>227327</v>
      </c>
      <c r="E100" s="401">
        <f t="shared" si="2"/>
        <v>-4796</v>
      </c>
      <c r="F100" s="402">
        <f t="shared" si="3"/>
        <v>-2.0661459657164521E-2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389</v>
      </c>
      <c r="D104" s="416">
        <v>465.1</v>
      </c>
      <c r="E104" s="417">
        <f>+D104-C104</f>
        <v>76.100000000000023</v>
      </c>
      <c r="F104" s="410">
        <f>IF(C104=0,0,+E104/C104)</f>
        <v>0.19562982005141394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47.8</v>
      </c>
      <c r="D105" s="416">
        <v>45.8</v>
      </c>
      <c r="E105" s="417">
        <f>+D105-C105</f>
        <v>-2</v>
      </c>
      <c r="F105" s="410">
        <f>IF(C105=0,0,+E105/C105)</f>
        <v>-4.1841004184100423E-2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1038.9000000000001</v>
      </c>
      <c r="D106" s="416">
        <v>1009.3</v>
      </c>
      <c r="E106" s="417">
        <f>+D106-C106</f>
        <v>-29.600000000000136</v>
      </c>
      <c r="F106" s="410">
        <f>IF(C106=0,0,+E106/C106)</f>
        <v>-2.8491673885840924E-2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1475.7</v>
      </c>
      <c r="D107" s="418">
        <f>SUM(D104:D106)</f>
        <v>1520.2</v>
      </c>
      <c r="E107" s="418">
        <f>+D107-C107</f>
        <v>44.5</v>
      </c>
      <c r="F107" s="402">
        <f>IF(C107=0,0,+E107/C107)</f>
        <v>3.0155180592261299E-2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3820</v>
      </c>
      <c r="D12" s="409">
        <v>4328</v>
      </c>
      <c r="E12" s="409">
        <f>+D12-C12</f>
        <v>508</v>
      </c>
      <c r="F12" s="410">
        <f>IF(C12=0,0,+E12/C12)</f>
        <v>0.13298429319371727</v>
      </c>
    </row>
    <row r="13" spans="1:6" ht="15.75" customHeight="1" x14ac:dyDescent="0.2">
      <c r="A13" s="374">
        <v>2</v>
      </c>
      <c r="B13" s="408" t="s">
        <v>622</v>
      </c>
      <c r="C13" s="409">
        <v>1119</v>
      </c>
      <c r="D13" s="409">
        <v>1156</v>
      </c>
      <c r="E13" s="409">
        <f>+D13-C13</f>
        <v>37</v>
      </c>
      <c r="F13" s="410">
        <f>IF(C13=0,0,+E13/C13)</f>
        <v>3.3065236818588022E-2</v>
      </c>
    </row>
    <row r="14" spans="1:6" ht="15.75" customHeight="1" x14ac:dyDescent="0.25">
      <c r="A14" s="374"/>
      <c r="B14" s="399" t="s">
        <v>623</v>
      </c>
      <c r="C14" s="401">
        <f>SUM(C11:C13)</f>
        <v>4939</v>
      </c>
      <c r="D14" s="401">
        <f>SUM(D11:D13)</f>
        <v>5484</v>
      </c>
      <c r="E14" s="401">
        <f>+D14-C14</f>
        <v>545</v>
      </c>
      <c r="F14" s="402">
        <f>IF(C14=0,0,+E14/C14)</f>
        <v>0.11034622393197004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115</v>
      </c>
      <c r="D17" s="409">
        <v>124</v>
      </c>
      <c r="E17" s="409">
        <f>+D17-C17</f>
        <v>9</v>
      </c>
      <c r="F17" s="410">
        <f>IF(C17=0,0,+E17/C17)</f>
        <v>7.8260869565217397E-2</v>
      </c>
    </row>
    <row r="18" spans="1:6" ht="15.75" customHeight="1" x14ac:dyDescent="0.2">
      <c r="A18" s="374">
        <v>2</v>
      </c>
      <c r="B18" s="408" t="s">
        <v>624</v>
      </c>
      <c r="C18" s="409">
        <v>2256</v>
      </c>
      <c r="D18" s="409">
        <v>1610</v>
      </c>
      <c r="E18" s="409">
        <f>+D18-C18</f>
        <v>-646</v>
      </c>
      <c r="F18" s="410">
        <f>IF(C18=0,0,+E18/C18)</f>
        <v>-0.28634751773049644</v>
      </c>
    </row>
    <row r="19" spans="1:6" ht="15.75" customHeight="1" x14ac:dyDescent="0.25">
      <c r="A19" s="374"/>
      <c r="B19" s="399" t="s">
        <v>625</v>
      </c>
      <c r="C19" s="401">
        <f>SUM(C16:C18)</f>
        <v>2371</v>
      </c>
      <c r="D19" s="401">
        <f>SUM(D16:D18)</f>
        <v>1734</v>
      </c>
      <c r="E19" s="401">
        <f>+D19-C19</f>
        <v>-637</v>
      </c>
      <c r="F19" s="402">
        <f>IF(C19=0,0,+E19/C19)</f>
        <v>-0.26866301138760018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627</v>
      </c>
      <c r="C22" s="409">
        <v>31400</v>
      </c>
      <c r="D22" s="409">
        <v>30295</v>
      </c>
      <c r="E22" s="409">
        <f>+D22-C22</f>
        <v>-1105</v>
      </c>
      <c r="F22" s="410">
        <f>IF(C22=0,0,+E22/C22)</f>
        <v>-3.519108280254777E-2</v>
      </c>
    </row>
    <row r="23" spans="1:6" ht="15.75" customHeight="1" x14ac:dyDescent="0.25">
      <c r="A23" s="374"/>
      <c r="B23" s="399" t="s">
        <v>628</v>
      </c>
      <c r="C23" s="401">
        <f>SUM(C21:C22)</f>
        <v>31400</v>
      </c>
      <c r="D23" s="401">
        <f>SUM(D21:D22)</f>
        <v>30295</v>
      </c>
      <c r="E23" s="401">
        <f>+D23-C23</f>
        <v>-1105</v>
      </c>
      <c r="F23" s="402">
        <f>IF(C23=0,0,+E23/C23)</f>
        <v>-3.519108280254777E-2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629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630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631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FILING&amp;RGREENWICH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239886253</v>
      </c>
      <c r="D15" s="448">
        <v>232331615</v>
      </c>
      <c r="E15" s="448">
        <f t="shared" ref="E15:E24" si="0">D15-C15</f>
        <v>-7554638</v>
      </c>
      <c r="F15" s="449">
        <f t="shared" ref="F15:F24" si="1">IF(C15=0,0,E15/C15)</f>
        <v>-3.1492584112354283E-2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56506049</v>
      </c>
      <c r="D16" s="448">
        <v>56247005</v>
      </c>
      <c r="E16" s="448">
        <f t="shared" si="0"/>
        <v>-259044</v>
      </c>
      <c r="F16" s="449">
        <f t="shared" si="1"/>
        <v>-4.5843587471493539E-3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0.23555351043813252</v>
      </c>
      <c r="D17" s="453">
        <f>IF(LN_IA1=0,0,LN_IA2/LN_IA1)</f>
        <v>0.2420979383283674</v>
      </c>
      <c r="E17" s="454">
        <f t="shared" si="0"/>
        <v>6.5444278902348774E-3</v>
      </c>
      <c r="F17" s="449">
        <f t="shared" si="1"/>
        <v>2.7783189807114989E-2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4713</v>
      </c>
      <c r="D18" s="456">
        <v>4330</v>
      </c>
      <c r="E18" s="456">
        <f t="shared" si="0"/>
        <v>-383</v>
      </c>
      <c r="F18" s="449">
        <f t="shared" si="1"/>
        <v>-8.1264587311691061E-2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1.5670500000000001</v>
      </c>
      <c r="D19" s="459">
        <v>1.66913</v>
      </c>
      <c r="E19" s="460">
        <f t="shared" si="0"/>
        <v>0.10207999999999995</v>
      </c>
      <c r="F19" s="449">
        <f t="shared" si="1"/>
        <v>6.5141507928910977E-2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7385.5066500000003</v>
      </c>
      <c r="D20" s="463">
        <f>LN_IA4*LN_IA5</f>
        <v>7227.3329000000003</v>
      </c>
      <c r="E20" s="463">
        <f t="shared" si="0"/>
        <v>-158.17374999999993</v>
      </c>
      <c r="F20" s="449">
        <f t="shared" si="1"/>
        <v>-2.1416777141484249E-2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7650.9373937128603</v>
      </c>
      <c r="D21" s="465">
        <f>IF(LN_IA6=0,0,LN_IA2/LN_IA6)</f>
        <v>7782.5396696477064</v>
      </c>
      <c r="E21" s="465">
        <f t="shared" si="0"/>
        <v>131.60227593484615</v>
      </c>
      <c r="F21" s="449">
        <f t="shared" si="1"/>
        <v>1.7200804184202317E-2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25317</v>
      </c>
      <c r="D22" s="456">
        <v>25826</v>
      </c>
      <c r="E22" s="456">
        <f t="shared" si="0"/>
        <v>509</v>
      </c>
      <c r="F22" s="449">
        <f t="shared" si="1"/>
        <v>2.0105067741043568E-2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2231.9409487696016</v>
      </c>
      <c r="D23" s="465">
        <f>IF(LN_IA8=0,0,LN_IA2/LN_IA8)</f>
        <v>2177.9216680864247</v>
      </c>
      <c r="E23" s="465">
        <f t="shared" si="0"/>
        <v>-54.01928068317693</v>
      </c>
      <c r="F23" s="449">
        <f t="shared" si="1"/>
        <v>-2.420282701159995E-2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5.3717377466581793</v>
      </c>
      <c r="D24" s="466">
        <f>IF(LN_IA4=0,0,LN_IA8/LN_IA4)</f>
        <v>5.9644341801385679</v>
      </c>
      <c r="E24" s="466">
        <f t="shared" si="0"/>
        <v>0.59269643348038858</v>
      </c>
      <c r="F24" s="449">
        <f t="shared" si="1"/>
        <v>0.11033607026871554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248501261</v>
      </c>
      <c r="D27" s="448">
        <v>257285408</v>
      </c>
      <c r="E27" s="448">
        <f t="shared" ref="E27:E32" si="2">D27-C27</f>
        <v>8784147</v>
      </c>
      <c r="F27" s="449">
        <f t="shared" ref="F27:F32" si="3">IF(C27=0,0,E27/C27)</f>
        <v>3.5348500706400839E-2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38538948</v>
      </c>
      <c r="D28" s="448">
        <v>44453699</v>
      </c>
      <c r="E28" s="448">
        <f t="shared" si="2"/>
        <v>5914751</v>
      </c>
      <c r="F28" s="449">
        <f t="shared" si="3"/>
        <v>0.15347463558164587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0.15508552288593819</v>
      </c>
      <c r="D29" s="453">
        <f>IF(LN_IA11=0,0,LN_IA12/LN_IA11)</f>
        <v>0.17277971318140203</v>
      </c>
      <c r="E29" s="454">
        <f t="shared" si="2"/>
        <v>1.7694190295463846E-2</v>
      </c>
      <c r="F29" s="449">
        <f t="shared" si="3"/>
        <v>0.1140931143423201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1.0359128874300272</v>
      </c>
      <c r="D30" s="453">
        <f>IF(LN_IA1=0,0,LN_IA11/LN_IA1)</f>
        <v>1.1074059292361051</v>
      </c>
      <c r="E30" s="454">
        <f t="shared" si="2"/>
        <v>7.1493041806077962E-2</v>
      </c>
      <c r="F30" s="449">
        <f t="shared" si="3"/>
        <v>6.9014530732833562E-2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4882.2574384577183</v>
      </c>
      <c r="D31" s="463">
        <f>LN_IA14*LN_IA4</f>
        <v>4795.0676735923353</v>
      </c>
      <c r="E31" s="463">
        <f t="shared" si="2"/>
        <v>-87.18976486538304</v>
      </c>
      <c r="F31" s="449">
        <f t="shared" si="3"/>
        <v>-1.7858493937371288E-2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7893.6738764382462</v>
      </c>
      <c r="D32" s="465">
        <f>IF(LN_IA15=0,0,LN_IA12/LN_IA15)</f>
        <v>9270.7135802937464</v>
      </c>
      <c r="E32" s="465">
        <f t="shared" si="2"/>
        <v>1377.0397038555002</v>
      </c>
      <c r="F32" s="449">
        <f t="shared" si="3"/>
        <v>0.17444851730774097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488387514</v>
      </c>
      <c r="D35" s="448">
        <f>LN_IA1+LN_IA11</f>
        <v>489617023</v>
      </c>
      <c r="E35" s="448">
        <f>D35-C35</f>
        <v>1229509</v>
      </c>
      <c r="F35" s="449">
        <f>IF(C35=0,0,E35/C35)</f>
        <v>2.5174865547443132E-3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95044997</v>
      </c>
      <c r="D36" s="448">
        <f>LN_IA2+LN_IA12</f>
        <v>100700704</v>
      </c>
      <c r="E36" s="448">
        <f>D36-C36</f>
        <v>5655707</v>
      </c>
      <c r="F36" s="449">
        <f>IF(C36=0,0,E36/C36)</f>
        <v>5.9505572923527997E-2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393342517</v>
      </c>
      <c r="D37" s="448">
        <f>LN_IA17-LN_IA18</f>
        <v>388916319</v>
      </c>
      <c r="E37" s="448">
        <f>D37-C37</f>
        <v>-4426198</v>
      </c>
      <c r="F37" s="449">
        <f>IF(C37=0,0,E37/C37)</f>
        <v>-1.1252783029300644E-2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207197243</v>
      </c>
      <c r="D42" s="448">
        <v>210553104</v>
      </c>
      <c r="E42" s="448">
        <f t="shared" ref="E42:E53" si="4">D42-C42</f>
        <v>3355861</v>
      </c>
      <c r="F42" s="449">
        <f t="shared" ref="F42:F53" si="5">IF(C42=0,0,E42/C42)</f>
        <v>1.6196455857281845E-2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90006753</v>
      </c>
      <c r="D43" s="448">
        <v>103046628</v>
      </c>
      <c r="E43" s="448">
        <f t="shared" si="4"/>
        <v>13039875</v>
      </c>
      <c r="F43" s="449">
        <f t="shared" si="5"/>
        <v>0.14487662942357224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0.43440130619884743</v>
      </c>
      <c r="D44" s="453">
        <f>IF(LN_IB1=0,0,LN_IB2/LN_IB1)</f>
        <v>0.48940920861465903</v>
      </c>
      <c r="E44" s="454">
        <f t="shared" si="4"/>
        <v>5.5007902415811605E-2</v>
      </c>
      <c r="F44" s="449">
        <f t="shared" si="5"/>
        <v>0.12662922885096414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7654</v>
      </c>
      <c r="D45" s="456">
        <v>7782</v>
      </c>
      <c r="E45" s="456">
        <f t="shared" si="4"/>
        <v>128</v>
      </c>
      <c r="F45" s="449">
        <f t="shared" si="5"/>
        <v>1.6723281944081524E-2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0.90549999999999997</v>
      </c>
      <c r="D46" s="459">
        <v>0.93523000000000001</v>
      </c>
      <c r="E46" s="460">
        <f t="shared" si="4"/>
        <v>2.9730000000000034E-2</v>
      </c>
      <c r="F46" s="449">
        <f t="shared" si="5"/>
        <v>3.2832689122032063E-2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6930.6970000000001</v>
      </c>
      <c r="D47" s="463">
        <f>LN_IB4*LN_IB5</f>
        <v>7277.9598599999999</v>
      </c>
      <c r="E47" s="463">
        <f t="shared" si="4"/>
        <v>347.26285999999982</v>
      </c>
      <c r="F47" s="449">
        <f t="shared" si="5"/>
        <v>5.0105041383283644E-2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12986.68128183933</v>
      </c>
      <c r="D48" s="465">
        <f>IF(LN_IB6=0,0,LN_IB2/LN_IB6)</f>
        <v>14158.724420335015</v>
      </c>
      <c r="E48" s="465">
        <f t="shared" si="4"/>
        <v>1172.0431384956846</v>
      </c>
      <c r="F48" s="449">
        <f t="shared" si="5"/>
        <v>9.024962675681264E-2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-5335.7438881264698</v>
      </c>
      <c r="D49" s="465">
        <f>LN_IA7-LN_IB7</f>
        <v>-6376.1847506873082</v>
      </c>
      <c r="E49" s="465">
        <f t="shared" si="4"/>
        <v>-1040.4408625608385</v>
      </c>
      <c r="F49" s="449">
        <f t="shared" si="5"/>
        <v>0.19499452829362968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-36980424.158206463</v>
      </c>
      <c r="D50" s="479">
        <f>LN_IB8*LN_IB6</f>
        <v>-46405616.675446339</v>
      </c>
      <c r="E50" s="479">
        <f t="shared" si="4"/>
        <v>-9425192.5172398761</v>
      </c>
      <c r="F50" s="449">
        <f t="shared" si="5"/>
        <v>0.2548697785865795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24989</v>
      </c>
      <c r="D51" s="456">
        <v>25199</v>
      </c>
      <c r="E51" s="456">
        <f t="shared" si="4"/>
        <v>210</v>
      </c>
      <c r="F51" s="449">
        <f t="shared" si="5"/>
        <v>8.4036976269558604E-3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3601.8549361719156</v>
      </c>
      <c r="D52" s="465">
        <f>IF(LN_IB10=0,0,LN_IB2/LN_IB10)</f>
        <v>4089.3141791340927</v>
      </c>
      <c r="E52" s="465">
        <f t="shared" si="4"/>
        <v>487.45924296217709</v>
      </c>
      <c r="F52" s="449">
        <f t="shared" si="5"/>
        <v>0.13533561223324925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3.2648288476613536</v>
      </c>
      <c r="D53" s="466">
        <f>IF(LN_IB4=0,0,LN_IB10/LN_IB4)</f>
        <v>3.238113595476741</v>
      </c>
      <c r="E53" s="466">
        <f t="shared" si="4"/>
        <v>-2.671525218461257E-2</v>
      </c>
      <c r="F53" s="449">
        <f t="shared" si="5"/>
        <v>-8.1827420153277285E-3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391634088</v>
      </c>
      <c r="D56" s="448">
        <v>398658983</v>
      </c>
      <c r="E56" s="448">
        <f t="shared" ref="E56:E63" si="6">D56-C56</f>
        <v>7024895</v>
      </c>
      <c r="F56" s="449">
        <f t="shared" ref="F56:F63" si="7">IF(C56=0,0,E56/C56)</f>
        <v>1.7937394152472242E-2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155932250</v>
      </c>
      <c r="D57" s="448">
        <v>154067872</v>
      </c>
      <c r="E57" s="448">
        <f t="shared" si="6"/>
        <v>-1864378</v>
      </c>
      <c r="F57" s="449">
        <f t="shared" si="7"/>
        <v>-1.1956333600008978E-2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0.39815801223104974</v>
      </c>
      <c r="D58" s="453">
        <f>IF(LN_IB13=0,0,LN_IB14/LN_IB13)</f>
        <v>0.38646532141481932</v>
      </c>
      <c r="E58" s="454">
        <f t="shared" si="6"/>
        <v>-1.1692690816230422E-2</v>
      </c>
      <c r="F58" s="449">
        <f t="shared" si="7"/>
        <v>-2.9366960997999944E-2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1.8901510576566889</v>
      </c>
      <c r="D59" s="453">
        <f>IF(LN_IB1=0,0,LN_IB13/LN_IB1)</f>
        <v>1.8933892468286766</v>
      </c>
      <c r="E59" s="454">
        <f t="shared" si="6"/>
        <v>3.2381891719877043E-3</v>
      </c>
      <c r="F59" s="449">
        <f t="shared" si="7"/>
        <v>1.7131906779991664E-3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14467.216195304296</v>
      </c>
      <c r="D60" s="463">
        <f>LN_IB16*LN_IB4</f>
        <v>14734.355118820762</v>
      </c>
      <c r="E60" s="463">
        <f t="shared" si="6"/>
        <v>267.13892351646609</v>
      </c>
      <c r="F60" s="449">
        <f t="shared" si="7"/>
        <v>1.8465122792812955E-2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10778.317534966525</v>
      </c>
      <c r="D61" s="465">
        <f>IF(LN_IB17=0,0,LN_IB14/LN_IB17)</f>
        <v>10456.370214886645</v>
      </c>
      <c r="E61" s="465">
        <f t="shared" si="6"/>
        <v>-321.94732007988023</v>
      </c>
      <c r="F61" s="449">
        <f t="shared" si="7"/>
        <v>-2.9869904930471147E-2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-2884.643658528279</v>
      </c>
      <c r="D62" s="465">
        <f>LN_IA16-LN_IB18</f>
        <v>-1185.6566345928986</v>
      </c>
      <c r="E62" s="465">
        <f t="shared" si="6"/>
        <v>1698.9870239353804</v>
      </c>
      <c r="F62" s="449">
        <f t="shared" si="7"/>
        <v>-0.58897639537293467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-41732763.454342157</v>
      </c>
      <c r="D63" s="448">
        <f>LN_IB19*LN_IB17</f>
        <v>-17469885.903077673</v>
      </c>
      <c r="E63" s="448">
        <f t="shared" si="6"/>
        <v>24262877.551264483</v>
      </c>
      <c r="F63" s="449">
        <f t="shared" si="7"/>
        <v>-0.58138679404275129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598831331</v>
      </c>
      <c r="D66" s="448">
        <f>LN_IB1+LN_IB13</f>
        <v>609212087</v>
      </c>
      <c r="E66" s="448">
        <f>D66-C66</f>
        <v>10380756</v>
      </c>
      <c r="F66" s="449">
        <f>IF(C66=0,0,E66/C66)</f>
        <v>1.7335024843581539E-2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245939003</v>
      </c>
      <c r="D67" s="448">
        <f>LN_IB2+LN_IB14</f>
        <v>257114500</v>
      </c>
      <c r="E67" s="448">
        <f>D67-C67</f>
        <v>11175497</v>
      </c>
      <c r="F67" s="449">
        <f>IF(C67=0,0,E67/C67)</f>
        <v>4.5440116710565019E-2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352892328</v>
      </c>
      <c r="D68" s="448">
        <f>LN_IB21-LN_IB22</f>
        <v>352097587</v>
      </c>
      <c r="E68" s="448">
        <f>D68-C68</f>
        <v>-794741</v>
      </c>
      <c r="F68" s="449">
        <f>IF(C68=0,0,E68/C68)</f>
        <v>-2.2520778632512521E-3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-78713187.61254862</v>
      </c>
      <c r="D70" s="441">
        <f>LN_IB9+LN_IB20</f>
        <v>-63875502.578524008</v>
      </c>
      <c r="E70" s="448">
        <f>D70-C70</f>
        <v>14837685.034024611</v>
      </c>
      <c r="F70" s="449">
        <f>IF(C70=0,0,E70/C70)</f>
        <v>-0.18850316553130109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550833535</v>
      </c>
      <c r="D73" s="488">
        <v>558998809</v>
      </c>
      <c r="E73" s="488">
        <f>D73-C73</f>
        <v>8165274</v>
      </c>
      <c r="F73" s="489">
        <f>IF(C73=0,0,E73/C73)</f>
        <v>1.4823487462505346E-2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232113196</v>
      </c>
      <c r="D74" s="488">
        <v>246654632</v>
      </c>
      <c r="E74" s="488">
        <f>D74-C74</f>
        <v>14541436</v>
      </c>
      <c r="F74" s="489">
        <f>IF(C74=0,0,E74/C74)</f>
        <v>6.2648036607104413E-2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318720339</v>
      </c>
      <c r="D76" s="441">
        <f>LN_IB32-LN_IB33</f>
        <v>312344177</v>
      </c>
      <c r="E76" s="488">
        <f>D76-C76</f>
        <v>-6376162</v>
      </c>
      <c r="F76" s="489">
        <f>IF(E76=0,0,E76/C76)</f>
        <v>-2.0005507085005956E-2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0.57861462447089396</v>
      </c>
      <c r="D77" s="453">
        <f>IF(LN_IB32=0,0,LN_IB34/LN_IB32)</f>
        <v>0.55875642661700198</v>
      </c>
      <c r="E77" s="493">
        <f>D77-C77</f>
        <v>-1.9858197853891979E-2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4393306</v>
      </c>
      <c r="D83" s="448">
        <v>4743689</v>
      </c>
      <c r="E83" s="448">
        <f t="shared" ref="E83:E95" si="8">D83-C83</f>
        <v>350383</v>
      </c>
      <c r="F83" s="449">
        <f t="shared" ref="F83:F95" si="9">IF(C83=0,0,E83/C83)</f>
        <v>7.9753834583796354E-2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2420412</v>
      </c>
      <c r="D84" s="448">
        <v>1088297</v>
      </c>
      <c r="E84" s="448">
        <f t="shared" si="8"/>
        <v>-1332115</v>
      </c>
      <c r="F84" s="449">
        <f t="shared" si="9"/>
        <v>-0.55036704494937227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0.55093180397632213</v>
      </c>
      <c r="D85" s="453">
        <f>IF(LN_IC1=0,0,LN_IC2/LN_IC1)</f>
        <v>0.22941997251506158</v>
      </c>
      <c r="E85" s="454">
        <f t="shared" si="8"/>
        <v>-0.32151183146126056</v>
      </c>
      <c r="F85" s="449">
        <f t="shared" si="9"/>
        <v>-0.58357827437219156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234</v>
      </c>
      <c r="D86" s="456">
        <v>246</v>
      </c>
      <c r="E86" s="456">
        <f t="shared" si="8"/>
        <v>12</v>
      </c>
      <c r="F86" s="449">
        <f t="shared" si="9"/>
        <v>5.128205128205128E-2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0.98980999999999997</v>
      </c>
      <c r="D87" s="459">
        <v>0.99141999999999997</v>
      </c>
      <c r="E87" s="460">
        <f t="shared" si="8"/>
        <v>1.6100000000000003E-3</v>
      </c>
      <c r="F87" s="449">
        <f t="shared" si="9"/>
        <v>1.6265747971832981E-3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231.61553999999998</v>
      </c>
      <c r="D88" s="463">
        <f>LN_IC4*LN_IC5</f>
        <v>243.88932</v>
      </c>
      <c r="E88" s="463">
        <f t="shared" si="8"/>
        <v>12.273780000000016</v>
      </c>
      <c r="F88" s="449">
        <f t="shared" si="9"/>
        <v>5.29920401713979E-2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10450.127828210492</v>
      </c>
      <c r="D89" s="465">
        <f>IF(LN_IC6=0,0,LN_IC2/LN_IC6)</f>
        <v>4462.2577159180237</v>
      </c>
      <c r="E89" s="465">
        <f t="shared" si="8"/>
        <v>-5987.8701122924685</v>
      </c>
      <c r="F89" s="449">
        <f t="shared" si="9"/>
        <v>-0.57299491553854487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2536.5534536288378</v>
      </c>
      <c r="D90" s="465">
        <f>LN_IB7-LN_IC7</f>
        <v>9696.466704416991</v>
      </c>
      <c r="E90" s="465">
        <f t="shared" si="8"/>
        <v>7159.9132507881532</v>
      </c>
      <c r="F90" s="449">
        <f t="shared" si="9"/>
        <v>2.8226936201738844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-2799.1904344976319</v>
      </c>
      <c r="D91" s="465">
        <f>LN_IA7-LN_IC7</f>
        <v>3320.2819537296828</v>
      </c>
      <c r="E91" s="465">
        <f t="shared" si="8"/>
        <v>6119.4723882273147</v>
      </c>
      <c r="F91" s="449">
        <f t="shared" si="9"/>
        <v>-2.1861579379559326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-648336.00404900359</v>
      </c>
      <c r="D92" s="441">
        <f>LN_IC9*LN_IC6</f>
        <v>809781.30790340377</v>
      </c>
      <c r="E92" s="441">
        <f t="shared" si="8"/>
        <v>1458117.3119524075</v>
      </c>
      <c r="F92" s="449">
        <f t="shared" si="9"/>
        <v>-2.2490148670537162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716</v>
      </c>
      <c r="D93" s="456">
        <v>749</v>
      </c>
      <c r="E93" s="456">
        <f t="shared" si="8"/>
        <v>33</v>
      </c>
      <c r="F93" s="449">
        <f t="shared" si="9"/>
        <v>4.6089385474860335E-2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3380.4636871508378</v>
      </c>
      <c r="D94" s="499">
        <f>IF(LN_IC11=0,0,LN_IC2/LN_IC11)</f>
        <v>1453</v>
      </c>
      <c r="E94" s="499">
        <f t="shared" si="8"/>
        <v>-1927.4636871508378</v>
      </c>
      <c r="F94" s="449">
        <f t="shared" si="9"/>
        <v>-0.5701773086565427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3.0598290598290596</v>
      </c>
      <c r="D95" s="466">
        <f>IF(LN_IC4=0,0,LN_IC11/LN_IC4)</f>
        <v>3.0447154471544717</v>
      </c>
      <c r="E95" s="466">
        <f t="shared" si="8"/>
        <v>-1.5113612674587884E-2</v>
      </c>
      <c r="F95" s="449">
        <f t="shared" si="9"/>
        <v>-4.939365036108331E-3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24491778</v>
      </c>
      <c r="D98" s="448">
        <v>31595880</v>
      </c>
      <c r="E98" s="448">
        <f t="shared" ref="E98:E106" si="10">D98-C98</f>
        <v>7104102</v>
      </c>
      <c r="F98" s="449">
        <f t="shared" ref="F98:F106" si="11">IF(C98=0,0,E98/C98)</f>
        <v>0.2900606889381408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1721063</v>
      </c>
      <c r="D99" s="448">
        <v>2341069</v>
      </c>
      <c r="E99" s="448">
        <f t="shared" si="10"/>
        <v>620006</v>
      </c>
      <c r="F99" s="449">
        <f t="shared" si="11"/>
        <v>0.36024596426743238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7.0271051779090932E-2</v>
      </c>
      <c r="D100" s="453">
        <f>IF(LN_IC14=0,0,LN_IC15/LN_IC14)</f>
        <v>7.4094122398236734E-2</v>
      </c>
      <c r="E100" s="454">
        <f t="shared" si="10"/>
        <v>3.8230706191458019E-3</v>
      </c>
      <c r="F100" s="449">
        <f t="shared" si="11"/>
        <v>5.4404630674438716E-2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5.5747944714071815</v>
      </c>
      <c r="D101" s="453">
        <f>IF(LN_IC1=0,0,LN_IC14/LN_IC1)</f>
        <v>6.6606137122395674</v>
      </c>
      <c r="E101" s="454">
        <f t="shared" si="10"/>
        <v>1.0858192408323859</v>
      </c>
      <c r="F101" s="449">
        <f t="shared" si="11"/>
        <v>0.19477296363148344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1304.5019063092805</v>
      </c>
      <c r="D102" s="463">
        <f>LN_IC17*LN_IC4</f>
        <v>1638.5109732109336</v>
      </c>
      <c r="E102" s="463">
        <f t="shared" si="10"/>
        <v>334.00906690165311</v>
      </c>
      <c r="F102" s="449">
        <f t="shared" si="11"/>
        <v>0.25604337202284155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1319.3257837922686</v>
      </c>
      <c r="D103" s="465">
        <f>IF(LN_IC18=0,0,LN_IC15/LN_IC18)</f>
        <v>1428.7783470941838</v>
      </c>
      <c r="E103" s="465">
        <f t="shared" si="10"/>
        <v>109.45256330191523</v>
      </c>
      <c r="F103" s="449">
        <f t="shared" si="11"/>
        <v>8.2960982531020439E-2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9458.9917511742569</v>
      </c>
      <c r="D104" s="465">
        <f>LN_IB18-LN_IC19</f>
        <v>9027.5918677924619</v>
      </c>
      <c r="E104" s="465">
        <f t="shared" si="10"/>
        <v>-431.39988338179501</v>
      </c>
      <c r="F104" s="449">
        <f t="shared" si="11"/>
        <v>-4.5607385515294502E-2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6574.3480926459779</v>
      </c>
      <c r="D105" s="465">
        <f>LN_IA16-LN_IC19</f>
        <v>7841.9352331995624</v>
      </c>
      <c r="E105" s="465">
        <f t="shared" si="10"/>
        <v>1267.5871405535845</v>
      </c>
      <c r="F105" s="449">
        <f t="shared" si="11"/>
        <v>0.19280803551784839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8576249.6195974592</v>
      </c>
      <c r="D106" s="448">
        <f>LN_IC21*LN_IC18</f>
        <v>12849096.930806924</v>
      </c>
      <c r="E106" s="448">
        <f t="shared" si="10"/>
        <v>4272847.3112094644</v>
      </c>
      <c r="F106" s="449">
        <f t="shared" si="11"/>
        <v>0.49821862710777975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28885084</v>
      </c>
      <c r="D109" s="448">
        <f>LN_IC1+LN_IC14</f>
        <v>36339569</v>
      </c>
      <c r="E109" s="448">
        <f>D109-C109</f>
        <v>7454485</v>
      </c>
      <c r="F109" s="449">
        <f>IF(C109=0,0,E109/C109)</f>
        <v>0.25807385569659413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4141475</v>
      </c>
      <c r="D110" s="448">
        <f>LN_IC2+LN_IC15</f>
        <v>3429366</v>
      </c>
      <c r="E110" s="448">
        <f>D110-C110</f>
        <v>-712109</v>
      </c>
      <c r="F110" s="449">
        <f>IF(C110=0,0,E110/C110)</f>
        <v>-0.17194574396803072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24743609</v>
      </c>
      <c r="D111" s="448">
        <f>LN_IC23-LN_IC24</f>
        <v>32910203</v>
      </c>
      <c r="E111" s="448">
        <f>D111-C111</f>
        <v>8166594</v>
      </c>
      <c r="F111" s="449">
        <f>IF(C111=0,0,E111/C111)</f>
        <v>0.33004861982744715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7927913.6155484561</v>
      </c>
      <c r="D113" s="448">
        <f>LN_IC10+LN_IC22</f>
        <v>13658878.238710327</v>
      </c>
      <c r="E113" s="448">
        <f>D113-C113</f>
        <v>5730964.623161871</v>
      </c>
      <c r="F113" s="449">
        <f>IF(C113=0,0,E113/C113)</f>
        <v>0.72288434272569968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14294353</v>
      </c>
      <c r="D118" s="448">
        <v>15286849</v>
      </c>
      <c r="E118" s="448">
        <f t="shared" ref="E118:E130" si="12">D118-C118</f>
        <v>992496</v>
      </c>
      <c r="F118" s="449">
        <f t="shared" ref="F118:F130" si="13">IF(C118=0,0,E118/C118)</f>
        <v>6.943273333182691E-2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2546966</v>
      </c>
      <c r="D119" s="448">
        <v>3143611</v>
      </c>
      <c r="E119" s="448">
        <f t="shared" si="12"/>
        <v>596645</v>
      </c>
      <c r="F119" s="449">
        <f t="shared" si="13"/>
        <v>0.23425715144999973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0.17817987284908943</v>
      </c>
      <c r="D120" s="453">
        <f>IF(LN_ID1=0,0,LN_1D2/LN_ID1)</f>
        <v>0.20564152887230064</v>
      </c>
      <c r="E120" s="454">
        <f t="shared" si="12"/>
        <v>2.7461656023211212E-2</v>
      </c>
      <c r="F120" s="449">
        <f t="shared" si="13"/>
        <v>0.15412322157435837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470</v>
      </c>
      <c r="D121" s="456">
        <v>515</v>
      </c>
      <c r="E121" s="456">
        <f t="shared" si="12"/>
        <v>45</v>
      </c>
      <c r="F121" s="449">
        <f t="shared" si="13"/>
        <v>9.5744680851063829E-2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1.0079400000000001</v>
      </c>
      <c r="D122" s="459">
        <v>1.03688</v>
      </c>
      <c r="E122" s="460">
        <f t="shared" si="12"/>
        <v>2.8939999999999966E-2</v>
      </c>
      <c r="F122" s="449">
        <f t="shared" si="13"/>
        <v>2.8712026509514418E-2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473.73180000000002</v>
      </c>
      <c r="D123" s="463">
        <f>LN_ID4*LN_ID5</f>
        <v>533.9932</v>
      </c>
      <c r="E123" s="463">
        <f t="shared" si="12"/>
        <v>60.261399999999981</v>
      </c>
      <c r="F123" s="449">
        <f t="shared" si="13"/>
        <v>0.12720573117531897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5376.3880744336775</v>
      </c>
      <c r="D124" s="465">
        <f>IF(LN_ID6=0,0,LN_1D2/LN_ID6)</f>
        <v>5886.9869503956234</v>
      </c>
      <c r="E124" s="465">
        <f t="shared" si="12"/>
        <v>510.59887596194585</v>
      </c>
      <c r="F124" s="449">
        <f t="shared" si="13"/>
        <v>9.4970613894111405E-2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7610.2932074056525</v>
      </c>
      <c r="D125" s="465">
        <f>LN_IB7-LN_ID7</f>
        <v>8271.7374699393913</v>
      </c>
      <c r="E125" s="465">
        <f t="shared" si="12"/>
        <v>661.44426253373877</v>
      </c>
      <c r="F125" s="449">
        <f t="shared" si="13"/>
        <v>8.691442556905439E-2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2274.5493192791828</v>
      </c>
      <c r="D126" s="465">
        <f>LN_IA7-LN_ID7</f>
        <v>1895.5527192520831</v>
      </c>
      <c r="E126" s="465">
        <f t="shared" si="12"/>
        <v>-378.9966000270997</v>
      </c>
      <c r="F126" s="449">
        <f t="shared" si="13"/>
        <v>-0.16662492073251936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1077526.3432109021</v>
      </c>
      <c r="D127" s="479">
        <f>LN_ID9*LN_ID6</f>
        <v>1012212.2623221214</v>
      </c>
      <c r="E127" s="479">
        <f t="shared" si="12"/>
        <v>-65314.080888780649</v>
      </c>
      <c r="F127" s="449">
        <f t="shared" si="13"/>
        <v>-6.0614834431010151E-2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1861</v>
      </c>
      <c r="D128" s="456">
        <v>2053</v>
      </c>
      <c r="E128" s="456">
        <f t="shared" si="12"/>
        <v>192</v>
      </c>
      <c r="F128" s="449">
        <f t="shared" si="13"/>
        <v>0.10317033852767329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1368.6007522837185</v>
      </c>
      <c r="D129" s="465">
        <f>IF(LN_ID11=0,0,LN_1D2/LN_ID11)</f>
        <v>1531.227959084267</v>
      </c>
      <c r="E129" s="465">
        <f t="shared" si="12"/>
        <v>162.62720680054849</v>
      </c>
      <c r="F129" s="449">
        <f t="shared" si="13"/>
        <v>0.11882735452920092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3.9595744680851066</v>
      </c>
      <c r="D130" s="466">
        <f>IF(LN_ID4=0,0,LN_ID11/LN_ID4)</f>
        <v>3.9864077669902911</v>
      </c>
      <c r="E130" s="466">
        <f t="shared" si="12"/>
        <v>2.6833298905184488E-2</v>
      </c>
      <c r="F130" s="449">
        <f t="shared" si="13"/>
        <v>6.7768138019541693E-3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34932154</v>
      </c>
      <c r="D133" s="448">
        <v>35446769</v>
      </c>
      <c r="E133" s="448">
        <f t="shared" ref="E133:E141" si="14">D133-C133</f>
        <v>514615</v>
      </c>
      <c r="F133" s="449">
        <f t="shared" ref="F133:F141" si="15">IF(C133=0,0,E133/C133)</f>
        <v>1.47318427601115E-2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5682064</v>
      </c>
      <c r="D134" s="448">
        <v>5624228</v>
      </c>
      <c r="E134" s="448">
        <f t="shared" si="14"/>
        <v>-57836</v>
      </c>
      <c r="F134" s="449">
        <f t="shared" si="15"/>
        <v>-1.0178695628912311E-2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0.1626599951437292</v>
      </c>
      <c r="D135" s="453">
        <f>IF(LN_ID14=0,0,LN_ID15/LN_ID14)</f>
        <v>0.1586668731358844</v>
      </c>
      <c r="E135" s="454">
        <f t="shared" si="14"/>
        <v>-3.993122007844796E-3</v>
      </c>
      <c r="F135" s="449">
        <f t="shared" si="15"/>
        <v>-2.4548888030621198E-2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2.4437730060255265</v>
      </c>
      <c r="D136" s="453">
        <f>IF(LN_ID1=0,0,LN_ID14/LN_ID1)</f>
        <v>2.3187753735253094</v>
      </c>
      <c r="E136" s="454">
        <f t="shared" si="14"/>
        <v>-0.12499763250021712</v>
      </c>
      <c r="F136" s="449">
        <f t="shared" si="15"/>
        <v>-5.1149444810141852E-2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1148.5733128319976</v>
      </c>
      <c r="D137" s="463">
        <f>LN_ID17*LN_ID4</f>
        <v>1194.1693173655344</v>
      </c>
      <c r="E137" s="463">
        <f t="shared" si="14"/>
        <v>45.59600453353687</v>
      </c>
      <c r="F137" s="449">
        <f t="shared" si="15"/>
        <v>3.9697948771865832E-2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4947.0625309845755</v>
      </c>
      <c r="D138" s="465">
        <f>IF(LN_ID18=0,0,LN_ID15/LN_ID18)</f>
        <v>4709.7408367580992</v>
      </c>
      <c r="E138" s="465">
        <f t="shared" si="14"/>
        <v>-237.32169422647621</v>
      </c>
      <c r="F138" s="449">
        <f t="shared" si="15"/>
        <v>-4.7972244688656462E-2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5831.2550039819498</v>
      </c>
      <c r="D139" s="465">
        <f>LN_IB18-LN_ID19</f>
        <v>5746.6293781285458</v>
      </c>
      <c r="E139" s="465">
        <f t="shared" si="14"/>
        <v>-84.625625853404017</v>
      </c>
      <c r="F139" s="449">
        <f t="shared" si="15"/>
        <v>-1.4512420704568105E-2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2946.6113454536708</v>
      </c>
      <c r="D140" s="465">
        <f>LN_IA16-LN_ID19</f>
        <v>4560.9727435356472</v>
      </c>
      <c r="E140" s="465">
        <f t="shared" si="14"/>
        <v>1614.3613980819764</v>
      </c>
      <c r="F140" s="449">
        <f t="shared" si="15"/>
        <v>0.54787048878121503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3384399.1546760723</v>
      </c>
      <c r="D141" s="441">
        <f>LN_ID21*LN_ID18</f>
        <v>5446573.7076707724</v>
      </c>
      <c r="E141" s="441">
        <f t="shared" si="14"/>
        <v>2062174.5529947001</v>
      </c>
      <c r="F141" s="449">
        <f t="shared" si="15"/>
        <v>0.60931777215033467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49226507</v>
      </c>
      <c r="D144" s="448">
        <f>LN_ID1+LN_ID14</f>
        <v>50733618</v>
      </c>
      <c r="E144" s="448">
        <f>D144-C144</f>
        <v>1507111</v>
      </c>
      <c r="F144" s="449">
        <f>IF(C144=0,0,E144/C144)</f>
        <v>3.061584280192783E-2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8229030</v>
      </c>
      <c r="D145" s="448">
        <f>LN_1D2+LN_ID15</f>
        <v>8767839</v>
      </c>
      <c r="E145" s="448">
        <f>D145-C145</f>
        <v>538809</v>
      </c>
      <c r="F145" s="449">
        <f>IF(C145=0,0,E145/C145)</f>
        <v>6.5476611459673859E-2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40997477</v>
      </c>
      <c r="D146" s="448">
        <f>LN_ID23-LN_ID24</f>
        <v>41965779</v>
      </c>
      <c r="E146" s="448">
        <f>D146-C146</f>
        <v>968302</v>
      </c>
      <c r="F146" s="449">
        <f>IF(C146=0,0,E146/C146)</f>
        <v>2.3618575357698231E-2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4461925.4978869744</v>
      </c>
      <c r="D148" s="448">
        <f>LN_ID10+LN_ID22</f>
        <v>6458785.9699928937</v>
      </c>
      <c r="E148" s="448">
        <f>D148-C148</f>
        <v>1996860.4721059194</v>
      </c>
      <c r="F148" s="503">
        <f>IF(C148=0,0,E148/C148)</f>
        <v>0.44753335147607659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13046673</v>
      </c>
      <c r="D153" s="448">
        <v>13321672</v>
      </c>
      <c r="E153" s="448">
        <f t="shared" ref="E153:E165" si="16">D153-C153</f>
        <v>274999</v>
      </c>
      <c r="F153" s="449">
        <f t="shared" ref="F153:F165" si="17">IF(C153=0,0,E153/C153)</f>
        <v>2.1078094009101017E-2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2855625</v>
      </c>
      <c r="D154" s="448">
        <v>3500630</v>
      </c>
      <c r="E154" s="448">
        <f t="shared" si="16"/>
        <v>645005</v>
      </c>
      <c r="F154" s="449">
        <f t="shared" si="17"/>
        <v>0.22587174436419347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0.21887764029956142</v>
      </c>
      <c r="D155" s="453">
        <f>IF(LN_IE1=0,0,LN_IE2/LN_IE1)</f>
        <v>0.26277707482964602</v>
      </c>
      <c r="E155" s="454">
        <f t="shared" si="16"/>
        <v>4.3899434530084602E-2</v>
      </c>
      <c r="F155" s="449">
        <f t="shared" si="17"/>
        <v>0.20056609925985466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443</v>
      </c>
      <c r="D156" s="506">
        <v>438</v>
      </c>
      <c r="E156" s="506">
        <f t="shared" si="16"/>
        <v>-5</v>
      </c>
      <c r="F156" s="449">
        <f t="shared" si="17"/>
        <v>-1.1286681715575621E-2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1.0054799999999999</v>
      </c>
      <c r="D157" s="459">
        <v>1.03122</v>
      </c>
      <c r="E157" s="460">
        <f t="shared" si="16"/>
        <v>2.5740000000000096E-2</v>
      </c>
      <c r="F157" s="449">
        <f t="shared" si="17"/>
        <v>2.5599713569638478E-2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445.42764</v>
      </c>
      <c r="D158" s="463">
        <f>LN_IE4*LN_IE5</f>
        <v>451.67436000000004</v>
      </c>
      <c r="E158" s="463">
        <f t="shared" si="16"/>
        <v>6.2467200000000389</v>
      </c>
      <c r="F158" s="449">
        <f t="shared" si="17"/>
        <v>1.4024096034992438E-2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6410.9739575209114</v>
      </c>
      <c r="D159" s="465">
        <f>IF(LN_IE6=0,0,LN_IE2/LN_IE6)</f>
        <v>7750.3403115465744</v>
      </c>
      <c r="E159" s="465">
        <f t="shared" si="16"/>
        <v>1339.366354025663</v>
      </c>
      <c r="F159" s="449">
        <f t="shared" si="17"/>
        <v>0.20891776552210309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6575.7073243184186</v>
      </c>
      <c r="D160" s="465">
        <f>LN_IB7-LN_IE7</f>
        <v>6408.3841087884402</v>
      </c>
      <c r="E160" s="465">
        <f t="shared" si="16"/>
        <v>-167.32321552997837</v>
      </c>
      <c r="F160" s="449">
        <f t="shared" si="17"/>
        <v>-2.5445660409972953E-2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1239.9634361919489</v>
      </c>
      <c r="D161" s="465">
        <f>LN_IA7-LN_IE7</f>
        <v>32.19935810113202</v>
      </c>
      <c r="E161" s="465">
        <f t="shared" si="16"/>
        <v>-1207.7640780908168</v>
      </c>
      <c r="F161" s="449">
        <f t="shared" si="17"/>
        <v>-0.97403201000827944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552313.98706927034</v>
      </c>
      <c r="D162" s="479">
        <f>LN_IE9*LN_IE6</f>
        <v>14543.624462739621</v>
      </c>
      <c r="E162" s="479">
        <f t="shared" si="16"/>
        <v>-537770.36260653078</v>
      </c>
      <c r="F162" s="449">
        <f t="shared" si="17"/>
        <v>-0.97366783242279986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1607</v>
      </c>
      <c r="D163" s="456">
        <v>1698</v>
      </c>
      <c r="E163" s="506">
        <f t="shared" si="16"/>
        <v>91</v>
      </c>
      <c r="F163" s="449">
        <f t="shared" si="17"/>
        <v>5.6627255756067203E-2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1776.991288114499</v>
      </c>
      <c r="D164" s="465">
        <f>IF(LN_IE11=0,0,LN_IE2/LN_IE11)</f>
        <v>2061.6195524146056</v>
      </c>
      <c r="E164" s="465">
        <f t="shared" si="16"/>
        <v>284.62826430010659</v>
      </c>
      <c r="F164" s="449">
        <f t="shared" si="17"/>
        <v>0.16017425983113026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3.6275395033860045</v>
      </c>
      <c r="D165" s="466">
        <f>IF(LN_IE4=0,0,LN_IE11/LN_IE4)</f>
        <v>3.8767123287671232</v>
      </c>
      <c r="E165" s="466">
        <f t="shared" si="16"/>
        <v>0.24917282538111873</v>
      </c>
      <c r="F165" s="449">
        <f t="shared" si="17"/>
        <v>6.8689210730451519E-2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17742228</v>
      </c>
      <c r="D168" s="511">
        <v>17523088</v>
      </c>
      <c r="E168" s="511">
        <f t="shared" ref="E168:E176" si="18">D168-C168</f>
        <v>-219140</v>
      </c>
      <c r="F168" s="449">
        <f t="shared" ref="F168:F176" si="19">IF(C168=0,0,E168/C168)</f>
        <v>-1.2351323633085991E-2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2429597</v>
      </c>
      <c r="D169" s="511">
        <v>2187545</v>
      </c>
      <c r="E169" s="511">
        <f t="shared" si="18"/>
        <v>-242052</v>
      </c>
      <c r="F169" s="449">
        <f t="shared" si="19"/>
        <v>-9.9626398945998035E-2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0.13693866407308034</v>
      </c>
      <c r="D170" s="453">
        <f>IF(LN_IE14=0,0,LN_IE15/LN_IE14)</f>
        <v>0.12483787104190769</v>
      </c>
      <c r="E170" s="454">
        <f t="shared" si="18"/>
        <v>-1.2100793031172646E-2</v>
      </c>
      <c r="F170" s="449">
        <f t="shared" si="19"/>
        <v>-8.836651878475163E-2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1.3599043986156472</v>
      </c>
      <c r="D171" s="453">
        <f>IF(LN_IE1=0,0,LN_IE14/LN_IE1)</f>
        <v>1.3153820331261721</v>
      </c>
      <c r="E171" s="454">
        <f t="shared" si="18"/>
        <v>-4.452236548947508E-2</v>
      </c>
      <c r="F171" s="449">
        <f t="shared" si="19"/>
        <v>-3.2739334864125648E-2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602.43764858673171</v>
      </c>
      <c r="D172" s="463">
        <f>LN_IE17*LN_IE4</f>
        <v>576.13733050926339</v>
      </c>
      <c r="E172" s="463">
        <f t="shared" si="18"/>
        <v>-26.300318077468319</v>
      </c>
      <c r="F172" s="449">
        <f t="shared" si="19"/>
        <v>-4.3656498127510227E-2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4032.9435016215057</v>
      </c>
      <c r="D173" s="465">
        <f>IF(LN_IE18=0,0,LN_IE15/LN_IE18)</f>
        <v>3796.9159159785213</v>
      </c>
      <c r="E173" s="465">
        <f t="shared" si="18"/>
        <v>-236.02758564298438</v>
      </c>
      <c r="F173" s="449">
        <f t="shared" si="19"/>
        <v>-5.8524892686467322E-2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6745.3740333450196</v>
      </c>
      <c r="D174" s="465">
        <f>LN_IB18-LN_IE19</f>
        <v>6659.4542989081237</v>
      </c>
      <c r="E174" s="465">
        <f t="shared" si="18"/>
        <v>-85.919734436895851</v>
      </c>
      <c r="F174" s="449">
        <f t="shared" si="19"/>
        <v>-1.2737578970737727E-2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3860.7303748167406</v>
      </c>
      <c r="D175" s="465">
        <f>LN_IA16-LN_IE19</f>
        <v>5473.7976643152251</v>
      </c>
      <c r="E175" s="465">
        <f t="shared" si="18"/>
        <v>1613.0672894984846</v>
      </c>
      <c r="F175" s="449">
        <f t="shared" si="19"/>
        <v>0.41781402296840087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2325849.3288319684</v>
      </c>
      <c r="D176" s="441">
        <f>LN_IE21*LN_IE18</f>
        <v>3153659.1740664151</v>
      </c>
      <c r="E176" s="441">
        <f t="shared" si="18"/>
        <v>827809.84523444669</v>
      </c>
      <c r="F176" s="449">
        <f t="shared" si="19"/>
        <v>0.35591722772952333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30788901</v>
      </c>
      <c r="D179" s="448">
        <f>LN_IE1+LN_IE14</f>
        <v>30844760</v>
      </c>
      <c r="E179" s="448">
        <f>D179-C179</f>
        <v>55859</v>
      </c>
      <c r="F179" s="449">
        <f>IF(C179=0,0,E179/C179)</f>
        <v>1.8142576768167204E-3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5285222</v>
      </c>
      <c r="D180" s="448">
        <f>LN_IE15+LN_IE2</f>
        <v>5688175</v>
      </c>
      <c r="E180" s="448">
        <f>D180-C180</f>
        <v>402953</v>
      </c>
      <c r="F180" s="449">
        <f>IF(C180=0,0,E180/C180)</f>
        <v>7.6241452109296448E-2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25503679</v>
      </c>
      <c r="D181" s="448">
        <f>LN_IE23-LN_IE24</f>
        <v>25156585</v>
      </c>
      <c r="E181" s="448">
        <f>D181-C181</f>
        <v>-347094</v>
      </c>
      <c r="F181" s="449">
        <f>IF(C181=0,0,E181/C181)</f>
        <v>-1.3609565898316082E-2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2878163.3159012385</v>
      </c>
      <c r="D183" s="448">
        <f>LN_IE10+LN_IE22</f>
        <v>3168202.7985291546</v>
      </c>
      <c r="E183" s="441">
        <f>D183-C183</f>
        <v>290039.48262791615</v>
      </c>
      <c r="F183" s="449">
        <f>IF(C183=0,0,E183/C183)</f>
        <v>0.10077242004493278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27341026</v>
      </c>
      <c r="D188" s="448">
        <f>LN_ID1+LN_IE1</f>
        <v>28608521</v>
      </c>
      <c r="E188" s="448">
        <f t="shared" ref="E188:E200" si="20">D188-C188</f>
        <v>1267495</v>
      </c>
      <c r="F188" s="449">
        <f t="shared" ref="F188:F200" si="21">IF(C188=0,0,E188/C188)</f>
        <v>4.6358721139433463E-2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5402591</v>
      </c>
      <c r="D189" s="448">
        <f>LN_1D2+LN_IE2</f>
        <v>6644241</v>
      </c>
      <c r="E189" s="448">
        <f t="shared" si="20"/>
        <v>1241650</v>
      </c>
      <c r="F189" s="449">
        <f t="shared" si="21"/>
        <v>0.22982491178769593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0.19760015589758775</v>
      </c>
      <c r="D190" s="453">
        <f>IF(LN_IF1=0,0,LN_IF2/LN_IF1)</f>
        <v>0.23224692391473156</v>
      </c>
      <c r="E190" s="454">
        <f t="shared" si="20"/>
        <v>3.4646768017143809E-2</v>
      </c>
      <c r="F190" s="449">
        <f t="shared" si="21"/>
        <v>0.17533775648993183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913</v>
      </c>
      <c r="D191" s="456">
        <f>LN_ID4+LN_IE4</f>
        <v>953</v>
      </c>
      <c r="E191" s="456">
        <f t="shared" si="20"/>
        <v>40</v>
      </c>
      <c r="F191" s="449">
        <f t="shared" si="21"/>
        <v>4.3811610076670317E-2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1.0067463745892662</v>
      </c>
      <c r="D192" s="459">
        <f>IF((LN_ID4+LN_IE4)=0,0,(LN_ID6+LN_IE6)/(LN_ID4+LN_IE4))</f>
        <v>1.0342786568730327</v>
      </c>
      <c r="E192" s="460">
        <f t="shared" si="20"/>
        <v>2.7532282283766474E-2</v>
      </c>
      <c r="F192" s="449">
        <f t="shared" si="21"/>
        <v>2.7347783889461866E-2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919.15944000000002</v>
      </c>
      <c r="D193" s="463">
        <f>LN_IF4*LN_IF5</f>
        <v>985.66756000000009</v>
      </c>
      <c r="E193" s="463">
        <f t="shared" si="20"/>
        <v>66.508120000000076</v>
      </c>
      <c r="F193" s="449">
        <f t="shared" si="21"/>
        <v>7.2357544410358313E-2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5877.7517423962918</v>
      </c>
      <c r="D194" s="465">
        <f>IF(LN_IF6=0,0,LN_IF2/LN_IF6)</f>
        <v>6740.8538838388868</v>
      </c>
      <c r="E194" s="465">
        <f t="shared" si="20"/>
        <v>863.10214144259498</v>
      </c>
      <c r="F194" s="449">
        <f t="shared" si="21"/>
        <v>0.14684222459023391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7108.9295394430383</v>
      </c>
      <c r="D195" s="465">
        <f>LN_IB7-LN_IF7</f>
        <v>7417.8705364961279</v>
      </c>
      <c r="E195" s="465">
        <f t="shared" si="20"/>
        <v>308.94099705308963</v>
      </c>
      <c r="F195" s="449">
        <f t="shared" si="21"/>
        <v>4.345815995769374E-2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1773.1856513165685</v>
      </c>
      <c r="D196" s="465">
        <f>LN_IA7-LN_IF7</f>
        <v>1041.6857858088197</v>
      </c>
      <c r="E196" s="465">
        <f t="shared" si="20"/>
        <v>-731.49986550774884</v>
      </c>
      <c r="F196" s="449">
        <f t="shared" si="21"/>
        <v>-0.41253427973806306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1629840.3302801724</v>
      </c>
      <c r="D197" s="479">
        <f>LN_IF9*LN_IF6</f>
        <v>1026755.886784862</v>
      </c>
      <c r="E197" s="479">
        <f t="shared" si="20"/>
        <v>-603084.44349531038</v>
      </c>
      <c r="F197" s="449">
        <f t="shared" si="21"/>
        <v>-0.37002670279464683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3468</v>
      </c>
      <c r="D198" s="456">
        <f>LN_ID11+LN_IE11</f>
        <v>3751</v>
      </c>
      <c r="E198" s="456">
        <f t="shared" si="20"/>
        <v>283</v>
      </c>
      <c r="F198" s="449">
        <f t="shared" si="21"/>
        <v>8.1603229527104956E-2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1557.8405420991926</v>
      </c>
      <c r="D199" s="519">
        <f>IF(LN_IF11=0,0,LN_IF2/LN_IF11)</f>
        <v>1771.3252466009064</v>
      </c>
      <c r="E199" s="519">
        <f t="shared" si="20"/>
        <v>213.48470450171385</v>
      </c>
      <c r="F199" s="449">
        <f t="shared" si="21"/>
        <v>0.13703886805644619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3.7984665936473165</v>
      </c>
      <c r="D200" s="466">
        <f>IF(LN_IF4=0,0,LN_IF11/LN_IF4)</f>
        <v>3.9359916054564534</v>
      </c>
      <c r="E200" s="466">
        <f t="shared" si="20"/>
        <v>0.1375250118091369</v>
      </c>
      <c r="F200" s="449">
        <f t="shared" si="21"/>
        <v>3.6205402474550744E-2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52674382</v>
      </c>
      <c r="D203" s="448">
        <f>LN_ID14+LN_IE14</f>
        <v>52969857</v>
      </c>
      <c r="E203" s="448">
        <f t="shared" ref="E203:E211" si="22">D203-C203</f>
        <v>295475</v>
      </c>
      <c r="F203" s="449">
        <f t="shared" ref="F203:F211" si="23">IF(C203=0,0,E203/C203)</f>
        <v>5.6094630592913265E-3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8111661</v>
      </c>
      <c r="D204" s="448">
        <f>LN_ID15+LN_IE15</f>
        <v>7811773</v>
      </c>
      <c r="E204" s="448">
        <f t="shared" si="22"/>
        <v>-299888</v>
      </c>
      <c r="F204" s="449">
        <f t="shared" si="23"/>
        <v>-3.6969986788155967E-2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0.15399632026057752</v>
      </c>
      <c r="D205" s="453">
        <f>IF(LN_IF14=0,0,LN_IF15/LN_IF14)</f>
        <v>0.14747581818089484</v>
      </c>
      <c r="E205" s="454">
        <f t="shared" si="22"/>
        <v>-6.5205020796826885E-3</v>
      </c>
      <c r="F205" s="449">
        <f t="shared" si="23"/>
        <v>-4.2341934330958897E-2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1.9265693247941755</v>
      </c>
      <c r="D206" s="453">
        <f>IF(LN_IF1=0,0,LN_IF14/LN_IF1)</f>
        <v>1.8515412593331895</v>
      </c>
      <c r="E206" s="454">
        <f t="shared" si="22"/>
        <v>-7.502806546098606E-2</v>
      </c>
      <c r="F206" s="449">
        <f t="shared" si="23"/>
        <v>-3.8943870067588489E-2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1751.0109614187293</v>
      </c>
      <c r="D207" s="463">
        <f>LN_ID18+LN_IE18</f>
        <v>1770.3066478747978</v>
      </c>
      <c r="E207" s="463">
        <f t="shared" si="22"/>
        <v>19.295686456068552</v>
      </c>
      <c r="F207" s="449">
        <f t="shared" si="23"/>
        <v>1.1019740527743198E-2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4632.55866395471</v>
      </c>
      <c r="D208" s="465">
        <f>IF(LN_IF18=0,0,LN_IF15/LN_IF18)</f>
        <v>4412.666590490302</v>
      </c>
      <c r="E208" s="465">
        <f t="shared" si="22"/>
        <v>-219.89207346440799</v>
      </c>
      <c r="F208" s="449">
        <f t="shared" si="23"/>
        <v>-4.7466657071254685E-2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6145.7588710118152</v>
      </c>
      <c r="D209" s="465">
        <f>LN_IB18-LN_IF19</f>
        <v>6043.703624396343</v>
      </c>
      <c r="E209" s="465">
        <f t="shared" si="22"/>
        <v>-102.05524661547224</v>
      </c>
      <c r="F209" s="449">
        <f t="shared" si="23"/>
        <v>-1.6605800643569708E-2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3261.1152124835362</v>
      </c>
      <c r="D210" s="465">
        <f>LN_IA16-LN_IF19</f>
        <v>4858.0469898034444</v>
      </c>
      <c r="E210" s="465">
        <f t="shared" si="22"/>
        <v>1596.9317773199082</v>
      </c>
      <c r="F210" s="449">
        <f t="shared" si="23"/>
        <v>0.48968885588796729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5710248.4835080411</v>
      </c>
      <c r="D211" s="441">
        <f>LN_IF21*LN_IF18</f>
        <v>8600232.8817371875</v>
      </c>
      <c r="E211" s="441">
        <f t="shared" si="22"/>
        <v>2889984.3982291464</v>
      </c>
      <c r="F211" s="449">
        <f t="shared" si="23"/>
        <v>0.50610484054692306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80015408</v>
      </c>
      <c r="D214" s="448">
        <f>LN_IF1+LN_IF14</f>
        <v>81578378</v>
      </c>
      <c r="E214" s="448">
        <f>D214-C214</f>
        <v>1562970</v>
      </c>
      <c r="F214" s="449">
        <f>IF(C214=0,0,E214/C214)</f>
        <v>1.9533362874310407E-2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13514252</v>
      </c>
      <c r="D215" s="448">
        <f>LN_IF2+LN_IF15</f>
        <v>14456014</v>
      </c>
      <c r="E215" s="448">
        <f>D215-C215</f>
        <v>941762</v>
      </c>
      <c r="F215" s="449">
        <f>IF(C215=0,0,E215/C215)</f>
        <v>6.9686579767788845E-2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66501156</v>
      </c>
      <c r="D216" s="448">
        <f>LN_IF23-LN_IF24</f>
        <v>67122364</v>
      </c>
      <c r="E216" s="448">
        <f>D216-C216</f>
        <v>621208</v>
      </c>
      <c r="F216" s="449">
        <f>IF(C216=0,0,E216/C216)</f>
        <v>9.3413112999118399E-3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435071</v>
      </c>
      <c r="D221" s="448">
        <v>279021</v>
      </c>
      <c r="E221" s="448">
        <f t="shared" ref="E221:E230" si="24">D221-C221</f>
        <v>-156050</v>
      </c>
      <c r="F221" s="449">
        <f t="shared" ref="F221:F230" si="25">IF(C221=0,0,E221/C221)</f>
        <v>-0.35867708948654359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64687</v>
      </c>
      <c r="D222" s="448">
        <v>40426</v>
      </c>
      <c r="E222" s="448">
        <f t="shared" si="24"/>
        <v>-24261</v>
      </c>
      <c r="F222" s="449">
        <f t="shared" si="25"/>
        <v>-0.37505217431632321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0.14868147957459818</v>
      </c>
      <c r="D223" s="453">
        <f>IF(LN_IG1=0,0,LN_IG2/LN_IG1)</f>
        <v>0.14488515201364771</v>
      </c>
      <c r="E223" s="454">
        <f t="shared" si="24"/>
        <v>-3.7963275609504687E-3</v>
      </c>
      <c r="F223" s="449">
        <f t="shared" si="25"/>
        <v>-2.5533291515610266E-2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16</v>
      </c>
      <c r="D224" s="456">
        <v>12</v>
      </c>
      <c r="E224" s="456">
        <f t="shared" si="24"/>
        <v>-4</v>
      </c>
      <c r="F224" s="449">
        <f t="shared" si="25"/>
        <v>-0.25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0.90332999999999997</v>
      </c>
      <c r="D225" s="459">
        <v>0.68313000000000001</v>
      </c>
      <c r="E225" s="460">
        <f t="shared" si="24"/>
        <v>-0.22019999999999995</v>
      </c>
      <c r="F225" s="449">
        <f t="shared" si="25"/>
        <v>-0.2437647371392514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14.453279999999999</v>
      </c>
      <c r="D226" s="463">
        <f>LN_IG3*LN_IG4</f>
        <v>8.1975599999999993</v>
      </c>
      <c r="E226" s="463">
        <f t="shared" si="24"/>
        <v>-6.2557200000000002</v>
      </c>
      <c r="F226" s="449">
        <f t="shared" si="25"/>
        <v>-0.43282355285443863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4475.5930833693119</v>
      </c>
      <c r="D227" s="465">
        <f>IF(LN_IG5=0,0,LN_IG2/LN_IG5)</f>
        <v>4931.4674122543784</v>
      </c>
      <c r="E227" s="465">
        <f t="shared" si="24"/>
        <v>455.87432888506646</v>
      </c>
      <c r="F227" s="449">
        <f t="shared" si="25"/>
        <v>0.10185785892355423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66</v>
      </c>
      <c r="D228" s="456">
        <v>51</v>
      </c>
      <c r="E228" s="456">
        <f t="shared" si="24"/>
        <v>-15</v>
      </c>
      <c r="F228" s="449">
        <f t="shared" si="25"/>
        <v>-0.22727272727272727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980.10606060606062</v>
      </c>
      <c r="D229" s="465">
        <f>IF(LN_IG6=0,0,LN_IG2/LN_IG6)</f>
        <v>792.66666666666663</v>
      </c>
      <c r="E229" s="465">
        <f t="shared" si="24"/>
        <v>-187.43939393939399</v>
      </c>
      <c r="F229" s="449">
        <f t="shared" si="25"/>
        <v>-0.19124399029171246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4.125</v>
      </c>
      <c r="D230" s="466">
        <f>IF(LN_IG3=0,0,LN_IG6/LN_IG3)</f>
        <v>4.25</v>
      </c>
      <c r="E230" s="466">
        <f t="shared" si="24"/>
        <v>0.125</v>
      </c>
      <c r="F230" s="449">
        <f t="shared" si="25"/>
        <v>3.0303030303030304E-2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707594</v>
      </c>
      <c r="D233" s="448">
        <v>760032</v>
      </c>
      <c r="E233" s="448">
        <f>D233-C233</f>
        <v>52438</v>
      </c>
      <c r="F233" s="449">
        <f>IF(C233=0,0,E233/C233)</f>
        <v>7.4107468407024368E-2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180036</v>
      </c>
      <c r="D234" s="448">
        <v>126261</v>
      </c>
      <c r="E234" s="448">
        <f>D234-C234</f>
        <v>-53775</v>
      </c>
      <c r="F234" s="449">
        <f>IF(C234=0,0,E234/C234)</f>
        <v>-0.2986902619476105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1142665</v>
      </c>
      <c r="D237" s="448">
        <f>LN_IG1+LN_IG9</f>
        <v>1039053</v>
      </c>
      <c r="E237" s="448">
        <f>D237-C237</f>
        <v>-103612</v>
      </c>
      <c r="F237" s="449">
        <f>IF(C237=0,0,E237/C237)</f>
        <v>-9.0675744859604515E-2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244723</v>
      </c>
      <c r="D238" s="448">
        <f>LN_IG2+LN_IG10</f>
        <v>166687</v>
      </c>
      <c r="E238" s="448">
        <f>D238-C238</f>
        <v>-78036</v>
      </c>
      <c r="F238" s="449">
        <f>IF(C238=0,0,E238/C238)</f>
        <v>-0.31887480947847158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897942</v>
      </c>
      <c r="D239" s="448">
        <f>LN_IG13-LN_IG14</f>
        <v>872366</v>
      </c>
      <c r="E239" s="448">
        <f>D239-C239</f>
        <v>-25576</v>
      </c>
      <c r="F239" s="449">
        <f>IF(C239=0,0,E239/C239)</f>
        <v>-2.8482908695661859E-2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20320014</v>
      </c>
      <c r="D243" s="448">
        <v>21109490</v>
      </c>
      <c r="E243" s="441">
        <f>D243-C243</f>
        <v>789476</v>
      </c>
      <c r="F243" s="503">
        <f>IF(C243=0,0,E243/C243)</f>
        <v>3.885213858612499E-2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328168956</v>
      </c>
      <c r="D244" s="448">
        <v>342552775</v>
      </c>
      <c r="E244" s="441">
        <f>D244-C244</f>
        <v>14383819</v>
      </c>
      <c r="F244" s="503">
        <f>IF(C244=0,0,E244/C244)</f>
        <v>4.3830529174124562E-2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20529798</v>
      </c>
      <c r="D248" s="441">
        <v>25342402</v>
      </c>
      <c r="E248" s="441">
        <f>D248-C248</f>
        <v>4812604</v>
      </c>
      <c r="F248" s="449">
        <f>IF(C248=0,0,E248/C248)</f>
        <v>0.23442042634808194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12337894</v>
      </c>
      <c r="D249" s="441">
        <v>15919399</v>
      </c>
      <c r="E249" s="441">
        <f>D249-C249</f>
        <v>3581505</v>
      </c>
      <c r="F249" s="449">
        <f>IF(C249=0,0,E249/C249)</f>
        <v>0.29028495462839932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32867692</v>
      </c>
      <c r="D250" s="441">
        <f>LN_IH4+LN_IH5</f>
        <v>41261801</v>
      </c>
      <c r="E250" s="441">
        <f>D250-C250</f>
        <v>8394109</v>
      </c>
      <c r="F250" s="449">
        <f>IF(C250=0,0,E250/C250)</f>
        <v>0.25539088658856851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9750760.0289391987</v>
      </c>
      <c r="D251" s="441">
        <f>LN_IH6*LN_III10</f>
        <v>12715646.610875394</v>
      </c>
      <c r="E251" s="441">
        <f>D251-C251</f>
        <v>2964886.5819361955</v>
      </c>
      <c r="F251" s="449">
        <f>IF(C251=0,0,E251/C251)</f>
        <v>0.30406722892746141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80015408</v>
      </c>
      <c r="D254" s="441">
        <f>LN_IF23</f>
        <v>81578378</v>
      </c>
      <c r="E254" s="441">
        <f>D254-C254</f>
        <v>1562970</v>
      </c>
      <c r="F254" s="449">
        <f>IF(C254=0,0,E254/C254)</f>
        <v>1.9533362874310407E-2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13514252</v>
      </c>
      <c r="D255" s="441">
        <f>LN_IF24</f>
        <v>14456014</v>
      </c>
      <c r="E255" s="441">
        <f>D255-C255</f>
        <v>941762</v>
      </c>
      <c r="F255" s="449">
        <f>IF(C255=0,0,E255/C255)</f>
        <v>6.9686579767788845E-2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23737932.131823</v>
      </c>
      <c r="D256" s="441">
        <f>LN_IH8*LN_III10</f>
        <v>25140003.601306975</v>
      </c>
      <c r="E256" s="441">
        <f>D256-C256</f>
        <v>1402071.4694839753</v>
      </c>
      <c r="F256" s="449">
        <f>IF(C256=0,0,E256/C256)</f>
        <v>5.9064600138626334E-2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10223680.131823</v>
      </c>
      <c r="D257" s="441">
        <f>LN_IH10-LN_IH9</f>
        <v>10683989.601306975</v>
      </c>
      <c r="E257" s="441">
        <f>D257-C257</f>
        <v>460309.46948397532</v>
      </c>
      <c r="F257" s="449">
        <f>IF(C257=0,0,E257/C257)</f>
        <v>4.502385281511119E-2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474859593</v>
      </c>
      <c r="D261" s="448">
        <f>LN_IA1+LN_IB1+LN_IF1+LN_IG1</f>
        <v>471772261</v>
      </c>
      <c r="E261" s="448">
        <f t="shared" ref="E261:E274" si="26">D261-C261</f>
        <v>-3087332</v>
      </c>
      <c r="F261" s="503">
        <f t="shared" ref="F261:F274" si="27">IF(C261=0,0,E261/C261)</f>
        <v>-6.5015681382686102E-3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151980080</v>
      </c>
      <c r="D262" s="448">
        <f>+LN_IA2+LN_IB2+LN_IF2+LN_IG2</f>
        <v>165978300</v>
      </c>
      <c r="E262" s="448">
        <f t="shared" si="26"/>
        <v>13998220</v>
      </c>
      <c r="F262" s="503">
        <f t="shared" si="27"/>
        <v>9.2105623315897708E-2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0.3200526687053788</v>
      </c>
      <c r="D263" s="453">
        <f>IF(LN_IIA1=0,0,LN_IIA2/LN_IIA1)</f>
        <v>0.35181869245169545</v>
      </c>
      <c r="E263" s="454">
        <f t="shared" si="26"/>
        <v>3.1766023746316652E-2</v>
      </c>
      <c r="F263" s="458">
        <f t="shared" si="27"/>
        <v>9.9252488269543346E-2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13296</v>
      </c>
      <c r="D264" s="456">
        <f>LN_IA4+LN_IB4+LN_IF4+LN_IG3</f>
        <v>13077</v>
      </c>
      <c r="E264" s="456">
        <f t="shared" si="26"/>
        <v>-219</v>
      </c>
      <c r="F264" s="503">
        <f t="shared" si="27"/>
        <v>-1.6471119133574009E-2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1.146947681257521</v>
      </c>
      <c r="D265" s="525">
        <f>IF(LN_IIA4=0,0,LN_IIA6/LN_IIA4)</f>
        <v>1.1852227483367745</v>
      </c>
      <c r="E265" s="525">
        <f t="shared" si="26"/>
        <v>3.8275067079253544E-2</v>
      </c>
      <c r="F265" s="503">
        <f t="shared" si="27"/>
        <v>3.33712406456836E-2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15249.816369999999</v>
      </c>
      <c r="D266" s="463">
        <f>LN_IA6+LN_IB6+LN_IF6+LN_IG5</f>
        <v>15499.157880000001</v>
      </c>
      <c r="E266" s="463">
        <f t="shared" si="26"/>
        <v>249.34151000000202</v>
      </c>
      <c r="F266" s="503">
        <f t="shared" si="27"/>
        <v>1.6350459831799408E-2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693517325</v>
      </c>
      <c r="D267" s="448">
        <f>LN_IA11+LN_IB13+LN_IF14+LN_IG9</f>
        <v>709674280</v>
      </c>
      <c r="E267" s="448">
        <f t="shared" si="26"/>
        <v>16156955</v>
      </c>
      <c r="F267" s="503">
        <f t="shared" si="27"/>
        <v>2.3297118064065668E-2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1.4604681788538703</v>
      </c>
      <c r="D268" s="453">
        <f>IF(LN_IIA1=0,0,LN_IIA7/LN_IIA1)</f>
        <v>1.5042730119310681</v>
      </c>
      <c r="E268" s="454">
        <f t="shared" si="26"/>
        <v>4.3804833077197847E-2</v>
      </c>
      <c r="F268" s="458">
        <f t="shared" si="27"/>
        <v>2.9993692236125618E-2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202762895</v>
      </c>
      <c r="D269" s="448">
        <f>LN_IA12+LN_IB14+LN_IF15+LN_IG10</f>
        <v>206459605</v>
      </c>
      <c r="E269" s="448">
        <f t="shared" si="26"/>
        <v>3696710</v>
      </c>
      <c r="F269" s="503">
        <f t="shared" si="27"/>
        <v>1.82316887909891E-2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0.29236889647998338</v>
      </c>
      <c r="D270" s="453">
        <f>IF(LN_IIA7=0,0,LN_IIA9/LN_IIA7)</f>
        <v>0.29092163943154314</v>
      </c>
      <c r="E270" s="454">
        <f t="shared" si="26"/>
        <v>-1.4472570484402314E-3</v>
      </c>
      <c r="F270" s="458">
        <f t="shared" si="27"/>
        <v>-4.9501060675902504E-3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1168376918</v>
      </c>
      <c r="D271" s="441">
        <f>LN_IIA1+LN_IIA7</f>
        <v>1181446541</v>
      </c>
      <c r="E271" s="441">
        <f t="shared" si="26"/>
        <v>13069623</v>
      </c>
      <c r="F271" s="503">
        <f t="shared" si="27"/>
        <v>1.1186135910980055E-2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354742975</v>
      </c>
      <c r="D272" s="441">
        <f>LN_IIA2+LN_IIA9</f>
        <v>372437905</v>
      </c>
      <c r="E272" s="441">
        <f t="shared" si="26"/>
        <v>17694930</v>
      </c>
      <c r="F272" s="503">
        <f t="shared" si="27"/>
        <v>4.9880987777136392E-2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0.30362032109230697</v>
      </c>
      <c r="D273" s="453">
        <f>IF(LN_IIA11=0,0,LN_IIA12/LN_IIA11)</f>
        <v>0.31523889746611905</v>
      </c>
      <c r="E273" s="454">
        <f t="shared" si="26"/>
        <v>1.1618576373812084E-2</v>
      </c>
      <c r="F273" s="458">
        <f t="shared" si="27"/>
        <v>3.826679430419215E-2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53840</v>
      </c>
      <c r="D274" s="508">
        <f>LN_IA8+LN_IB10+LN_IF11+LN_IG6</f>
        <v>54827</v>
      </c>
      <c r="E274" s="528">
        <f t="shared" si="26"/>
        <v>987</v>
      </c>
      <c r="F274" s="458">
        <f t="shared" si="27"/>
        <v>1.8332095096582467E-2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267662350</v>
      </c>
      <c r="D277" s="448">
        <f>LN_IA1+LN_IF1+LN_IG1</f>
        <v>261219157</v>
      </c>
      <c r="E277" s="448">
        <f t="shared" ref="E277:E291" si="28">D277-C277</f>
        <v>-6443193</v>
      </c>
      <c r="F277" s="503">
        <f t="shared" ref="F277:F291" si="29">IF(C277=0,0,E277/C277)</f>
        <v>-2.4072093068001534E-2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61973327</v>
      </c>
      <c r="D278" s="448">
        <f>LN_IA2+LN_IF2+LN_IG2</f>
        <v>62931672</v>
      </c>
      <c r="E278" s="448">
        <f t="shared" si="28"/>
        <v>958345</v>
      </c>
      <c r="F278" s="503">
        <f t="shared" si="29"/>
        <v>1.5463830108717578E-2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0.23153546623198967</v>
      </c>
      <c r="D279" s="453">
        <f>IF(D277=0,0,LN_IIB2/D277)</f>
        <v>0.24091522506521221</v>
      </c>
      <c r="E279" s="454">
        <f t="shared" si="28"/>
        <v>9.3797588332225346E-3</v>
      </c>
      <c r="F279" s="458">
        <f t="shared" si="29"/>
        <v>4.0511110396471074E-2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5642</v>
      </c>
      <c r="D280" s="456">
        <f>LN_IA4+LN_IF4+LN_IG3</f>
        <v>5295</v>
      </c>
      <c r="E280" s="456">
        <f t="shared" si="28"/>
        <v>-347</v>
      </c>
      <c r="F280" s="503">
        <f t="shared" si="29"/>
        <v>-6.1503013115916341E-2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1.4744982931584545</v>
      </c>
      <c r="D281" s="525">
        <f>IF(LN_IIB4=0,0,LN_IIB6/LN_IIB4)</f>
        <v>1.5526341869688389</v>
      </c>
      <c r="E281" s="525">
        <f t="shared" si="28"/>
        <v>7.8135893810384438E-2</v>
      </c>
      <c r="F281" s="503">
        <f t="shared" si="29"/>
        <v>5.2991511874193598E-2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8319.1193700000003</v>
      </c>
      <c r="D282" s="463">
        <f>LN_IA6+LN_IF6+LN_IG5</f>
        <v>8221.1980200000016</v>
      </c>
      <c r="E282" s="463">
        <f t="shared" si="28"/>
        <v>-97.921349999998711</v>
      </c>
      <c r="F282" s="503">
        <f t="shared" si="29"/>
        <v>-1.1770638891553579E-2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301883237</v>
      </c>
      <c r="D283" s="448">
        <f>LN_IA11+LN_IF14+LN_IG9</f>
        <v>311015297</v>
      </c>
      <c r="E283" s="448">
        <f t="shared" si="28"/>
        <v>9132060</v>
      </c>
      <c r="F283" s="503">
        <f t="shared" si="29"/>
        <v>3.0250305021076743E-2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1.1278509547569915</v>
      </c>
      <c r="D284" s="453">
        <f>IF(D277=0,0,LN_IIB7/D277)</f>
        <v>1.1906297400691788</v>
      </c>
      <c r="E284" s="454">
        <f t="shared" si="28"/>
        <v>6.277878531218728E-2</v>
      </c>
      <c r="F284" s="458">
        <f t="shared" si="29"/>
        <v>5.5662306306876949E-2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46830645</v>
      </c>
      <c r="D285" s="448">
        <f>LN_IA12+LN_IF15+LN_IG10</f>
        <v>52391733</v>
      </c>
      <c r="E285" s="448">
        <f t="shared" si="28"/>
        <v>5561088</v>
      </c>
      <c r="F285" s="503">
        <f t="shared" si="29"/>
        <v>0.11874890896762152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0.15512833857681207</v>
      </c>
      <c r="D286" s="453">
        <f>IF(LN_IIB7=0,0,LN_IIB9/LN_IIB7)</f>
        <v>0.16845387833126421</v>
      </c>
      <c r="E286" s="454">
        <f t="shared" si="28"/>
        <v>1.3325539754452137E-2</v>
      </c>
      <c r="F286" s="458">
        <f t="shared" si="29"/>
        <v>8.5900099728419207E-2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569545587</v>
      </c>
      <c r="D287" s="441">
        <f>D277+LN_IIB7</f>
        <v>572234454</v>
      </c>
      <c r="E287" s="441">
        <f t="shared" si="28"/>
        <v>2688867</v>
      </c>
      <c r="F287" s="503">
        <f t="shared" si="29"/>
        <v>4.7210742412441865E-3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108803972</v>
      </c>
      <c r="D288" s="441">
        <f>LN_IIB2+LN_IIB9</f>
        <v>115323405</v>
      </c>
      <c r="E288" s="441">
        <f t="shared" si="28"/>
        <v>6519433</v>
      </c>
      <c r="F288" s="503">
        <f t="shared" si="29"/>
        <v>5.9919071704477848E-2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0.19103645868473737</v>
      </c>
      <c r="D289" s="453">
        <f>IF(LN_IIB11=0,0,LN_IIB12/LN_IIB11)</f>
        <v>0.20153173964600182</v>
      </c>
      <c r="E289" s="454">
        <f t="shared" si="28"/>
        <v>1.0495280961264453E-2</v>
      </c>
      <c r="F289" s="458">
        <f t="shared" si="29"/>
        <v>5.4938628121161674E-2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28851</v>
      </c>
      <c r="D290" s="508">
        <f>LN_IA8+LN_IF11+LN_IG6</f>
        <v>29628</v>
      </c>
      <c r="E290" s="528">
        <f t="shared" si="28"/>
        <v>777</v>
      </c>
      <c r="F290" s="458">
        <f t="shared" si="29"/>
        <v>2.6931475512113966E-2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460741615</v>
      </c>
      <c r="D291" s="516">
        <f>LN_IIB11-LN_IIB12</f>
        <v>456911049</v>
      </c>
      <c r="E291" s="441">
        <f t="shared" si="28"/>
        <v>-3830566</v>
      </c>
      <c r="F291" s="503">
        <f t="shared" si="29"/>
        <v>-8.3139136455038908E-3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5.3717377466581793</v>
      </c>
      <c r="D294" s="466">
        <f>IF(LN_IA4=0,0,LN_IA8/LN_IA4)</f>
        <v>5.9644341801385679</v>
      </c>
      <c r="E294" s="466">
        <f t="shared" ref="E294:E300" si="30">D294-C294</f>
        <v>0.59269643348038858</v>
      </c>
      <c r="F294" s="503">
        <f t="shared" ref="F294:F300" si="31">IF(C294=0,0,E294/C294)</f>
        <v>0.11033607026871554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3.2648288476613536</v>
      </c>
      <c r="D295" s="466">
        <f>IF(LN_IB4=0,0,(LN_IB10)/(LN_IB4))</f>
        <v>3.238113595476741</v>
      </c>
      <c r="E295" s="466">
        <f t="shared" si="30"/>
        <v>-2.671525218461257E-2</v>
      </c>
      <c r="F295" s="503">
        <f t="shared" si="31"/>
        <v>-8.1827420153277285E-3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3.0598290598290596</v>
      </c>
      <c r="D296" s="466">
        <f>IF(LN_IC4=0,0,LN_IC11/LN_IC4)</f>
        <v>3.0447154471544717</v>
      </c>
      <c r="E296" s="466">
        <f t="shared" si="30"/>
        <v>-1.5113612674587884E-2</v>
      </c>
      <c r="F296" s="503">
        <f t="shared" si="31"/>
        <v>-4.939365036108331E-3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3.9595744680851066</v>
      </c>
      <c r="D297" s="466">
        <f>IF(LN_ID4=0,0,LN_ID11/LN_ID4)</f>
        <v>3.9864077669902911</v>
      </c>
      <c r="E297" s="466">
        <f t="shared" si="30"/>
        <v>2.6833298905184488E-2</v>
      </c>
      <c r="F297" s="503">
        <f t="shared" si="31"/>
        <v>6.7768138019541693E-3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3.6275395033860045</v>
      </c>
      <c r="D298" s="466">
        <f>IF(LN_IE4=0,0,LN_IE11/LN_IE4)</f>
        <v>3.8767123287671232</v>
      </c>
      <c r="E298" s="466">
        <f t="shared" si="30"/>
        <v>0.24917282538111873</v>
      </c>
      <c r="F298" s="503">
        <f t="shared" si="31"/>
        <v>6.8689210730451519E-2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4.125</v>
      </c>
      <c r="D299" s="466">
        <f>IF(LN_IG3=0,0,LN_IG6/LN_IG3)</f>
        <v>4.25</v>
      </c>
      <c r="E299" s="466">
        <f t="shared" si="30"/>
        <v>0.125</v>
      </c>
      <c r="F299" s="503">
        <f t="shared" si="31"/>
        <v>3.0303030303030304E-2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4.0493381468110714</v>
      </c>
      <c r="D300" s="466">
        <f>IF(LN_IIA4=0,0,LN_IIA14/LN_IIA4)</f>
        <v>4.1926282786571845</v>
      </c>
      <c r="E300" s="466">
        <f t="shared" si="30"/>
        <v>0.14329013184611306</v>
      </c>
      <c r="F300" s="503">
        <f t="shared" si="31"/>
        <v>3.5386062277598794E-2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1168376918</v>
      </c>
      <c r="D304" s="441">
        <f>LN_IIA11</f>
        <v>1181446541</v>
      </c>
      <c r="E304" s="441">
        <f t="shared" ref="E304:E316" si="32">D304-C304</f>
        <v>13069623</v>
      </c>
      <c r="F304" s="449">
        <f>IF(C304=0,0,E304/C304)</f>
        <v>1.1186135910980055E-2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460741615</v>
      </c>
      <c r="D305" s="441">
        <f>LN_IIB14</f>
        <v>456911049</v>
      </c>
      <c r="E305" s="441">
        <f t="shared" si="32"/>
        <v>-3830566</v>
      </c>
      <c r="F305" s="449">
        <f>IF(C305=0,0,E305/C305)</f>
        <v>-8.3139136455038908E-3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32867692</v>
      </c>
      <c r="D306" s="441">
        <f>LN_IH6</f>
        <v>41261801</v>
      </c>
      <c r="E306" s="441">
        <f t="shared" si="32"/>
        <v>8394109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318720339</v>
      </c>
      <c r="D307" s="441">
        <f>LN_IB32-LN_IB33</f>
        <v>312344177</v>
      </c>
      <c r="E307" s="441">
        <f t="shared" si="32"/>
        <v>-6376162</v>
      </c>
      <c r="F307" s="449">
        <f t="shared" ref="F307:F316" si="33">IF(C307=0,0,E307/C307)</f>
        <v>-2.0005507085005956E-2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9428381</v>
      </c>
      <c r="D308" s="441">
        <v>6843208</v>
      </c>
      <c r="E308" s="441">
        <f t="shared" si="32"/>
        <v>-2585173</v>
      </c>
      <c r="F308" s="449">
        <f t="shared" si="33"/>
        <v>-0.27419055296980466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821758027</v>
      </c>
      <c r="D309" s="441">
        <f>LN_III2+LN_III3+LN_III4+LN_III5</f>
        <v>817360235</v>
      </c>
      <c r="E309" s="441">
        <f t="shared" si="32"/>
        <v>-4397792</v>
      </c>
      <c r="F309" s="449">
        <f t="shared" si="33"/>
        <v>-5.3516873039318666E-3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346618891</v>
      </c>
      <c r="D310" s="441">
        <f>LN_III1-LN_III6</f>
        <v>364086306</v>
      </c>
      <c r="E310" s="441">
        <f t="shared" si="32"/>
        <v>17467415</v>
      </c>
      <c r="F310" s="449">
        <f t="shared" si="33"/>
        <v>5.0393719019774949E-2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346618891</v>
      </c>
      <c r="D312" s="441">
        <f>LN_III7+LN_III8</f>
        <v>364086306</v>
      </c>
      <c r="E312" s="441">
        <f t="shared" si="32"/>
        <v>17467415</v>
      </c>
      <c r="F312" s="449">
        <f t="shared" si="33"/>
        <v>5.0393719019774949E-2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0.29666701358097181</v>
      </c>
      <c r="D313" s="532">
        <f>IF(LN_III1=0,0,LN_III9/LN_III1)</f>
        <v>0.30816993690787742</v>
      </c>
      <c r="E313" s="532">
        <f t="shared" si="32"/>
        <v>1.1502923326905612E-2</v>
      </c>
      <c r="F313" s="449">
        <f t="shared" si="33"/>
        <v>3.8773853513599424E-2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9750760.0289391987</v>
      </c>
      <c r="D314" s="441">
        <f>D313*LN_III5</f>
        <v>12715646.610875394</v>
      </c>
      <c r="E314" s="441">
        <f t="shared" si="32"/>
        <v>2964886.5819361955</v>
      </c>
      <c r="F314" s="449">
        <f t="shared" si="33"/>
        <v>0.30406722892746141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10223680.131823</v>
      </c>
      <c r="D315" s="441">
        <f>D313*LN_IH8-LN_IH9</f>
        <v>10683989.601306975</v>
      </c>
      <c r="E315" s="441">
        <f t="shared" si="32"/>
        <v>460309.46948397532</v>
      </c>
      <c r="F315" s="449">
        <f t="shared" si="33"/>
        <v>4.502385281511119E-2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19974440.160762198</v>
      </c>
      <c r="D318" s="441">
        <f>D314+D315+D316</f>
        <v>23399636.212182369</v>
      </c>
      <c r="E318" s="441">
        <f>D318-C318</f>
        <v>3425196.0514201708</v>
      </c>
      <c r="F318" s="449">
        <f>IF(C318=0,0,E318/C318)</f>
        <v>0.17147895129239357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3384399.1546760723</v>
      </c>
      <c r="D322" s="441">
        <f>LN_ID22</f>
        <v>5446573.7076707724</v>
      </c>
      <c r="E322" s="441">
        <f>LN_IV2-C322</f>
        <v>2062174.5529947001</v>
      </c>
      <c r="F322" s="449">
        <f>IF(C322=0,0,E322/C322)</f>
        <v>0.60931777215033467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2878163.3159012385</v>
      </c>
      <c r="D323" s="441">
        <f>LN_IE10+LN_IE22</f>
        <v>3168202.7985291546</v>
      </c>
      <c r="E323" s="441">
        <f>LN_IV3-C323</f>
        <v>290039.48262791615</v>
      </c>
      <c r="F323" s="449">
        <f>IF(C323=0,0,E323/C323)</f>
        <v>0.10077242004493278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7927913.6155484561</v>
      </c>
      <c r="D324" s="441">
        <f>LN_IC10+LN_IC22</f>
        <v>13658878.238710327</v>
      </c>
      <c r="E324" s="441">
        <f>LN_IV1-C324</f>
        <v>5730964.623161871</v>
      </c>
      <c r="F324" s="449">
        <f>IF(C324=0,0,E324/C324)</f>
        <v>0.72288434272569968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14190476.086125767</v>
      </c>
      <c r="D325" s="516">
        <f>LN_IV1+LN_IV2+LN_IV3</f>
        <v>22273654.744910255</v>
      </c>
      <c r="E325" s="441">
        <f>LN_IV4-C325</f>
        <v>8083178.6587844882</v>
      </c>
      <c r="F325" s="449">
        <f>IF(C325=0,0,E325/C325)</f>
        <v>0.56961997678763776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19112712</v>
      </c>
      <c r="D329" s="518">
        <v>13873710</v>
      </c>
      <c r="E329" s="518">
        <f t="shared" ref="E329:E335" si="34">D329-C329</f>
        <v>-5239002</v>
      </c>
      <c r="F329" s="542">
        <f t="shared" ref="F329:F335" si="35">IF(C329=0,0,E329/C329)</f>
        <v>-0.27411086401553059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-14005763</v>
      </c>
      <c r="D330" s="516">
        <v>-19131678</v>
      </c>
      <c r="E330" s="518">
        <f t="shared" si="34"/>
        <v>-5125915</v>
      </c>
      <c r="F330" s="543">
        <f t="shared" si="35"/>
        <v>0.36598613013800108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340737210</v>
      </c>
      <c r="D331" s="516">
        <v>353306227</v>
      </c>
      <c r="E331" s="518">
        <f t="shared" si="34"/>
        <v>12569017</v>
      </c>
      <c r="F331" s="542">
        <f t="shared" si="35"/>
        <v>3.6887714728896209E-2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1168376920</v>
      </c>
      <c r="D333" s="516">
        <v>1181446542</v>
      </c>
      <c r="E333" s="518">
        <f t="shared" si="34"/>
        <v>13069622</v>
      </c>
      <c r="F333" s="542">
        <f t="shared" si="35"/>
        <v>1.118613503594371E-2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33353</v>
      </c>
      <c r="D334" s="516">
        <v>3978</v>
      </c>
      <c r="E334" s="516">
        <f t="shared" si="34"/>
        <v>-29375</v>
      </c>
      <c r="F334" s="543">
        <f t="shared" si="35"/>
        <v>-0.88073036908224145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32901045</v>
      </c>
      <c r="D335" s="516">
        <v>41265779</v>
      </c>
      <c r="E335" s="516">
        <f t="shared" si="34"/>
        <v>8364734</v>
      </c>
      <c r="F335" s="542">
        <f t="shared" si="35"/>
        <v>0.25423915866502111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FILING&amp;RGREENWICH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207197243</v>
      </c>
      <c r="D14" s="589">
        <v>210553104</v>
      </c>
      <c r="E14" s="590">
        <f t="shared" ref="E14:E22" si="0">D14-C14</f>
        <v>3355861</v>
      </c>
    </row>
    <row r="15" spans="1:5" s="421" customFormat="1" x14ac:dyDescent="0.2">
      <c r="A15" s="588">
        <v>2</v>
      </c>
      <c r="B15" s="587" t="s">
        <v>638</v>
      </c>
      <c r="C15" s="589">
        <v>239886253</v>
      </c>
      <c r="D15" s="591">
        <v>232331615</v>
      </c>
      <c r="E15" s="590">
        <f t="shared" si="0"/>
        <v>-7554638</v>
      </c>
    </row>
    <row r="16" spans="1:5" s="421" customFormat="1" x14ac:dyDescent="0.2">
      <c r="A16" s="588">
        <v>3</v>
      </c>
      <c r="B16" s="587" t="s">
        <v>780</v>
      </c>
      <c r="C16" s="589">
        <v>27341026</v>
      </c>
      <c r="D16" s="591">
        <v>28608521</v>
      </c>
      <c r="E16" s="590">
        <f t="shared" si="0"/>
        <v>1267495</v>
      </c>
    </row>
    <row r="17" spans="1:5" s="421" customFormat="1" x14ac:dyDescent="0.2">
      <c r="A17" s="588">
        <v>4</v>
      </c>
      <c r="B17" s="587" t="s">
        <v>115</v>
      </c>
      <c r="C17" s="589">
        <v>14294353</v>
      </c>
      <c r="D17" s="591">
        <v>15286849</v>
      </c>
      <c r="E17" s="590">
        <f t="shared" si="0"/>
        <v>992496</v>
      </c>
    </row>
    <row r="18" spans="1:5" s="421" customFormat="1" x14ac:dyDescent="0.2">
      <c r="A18" s="588">
        <v>5</v>
      </c>
      <c r="B18" s="587" t="s">
        <v>746</v>
      </c>
      <c r="C18" s="589">
        <v>13046673</v>
      </c>
      <c r="D18" s="591">
        <v>13321672</v>
      </c>
      <c r="E18" s="590">
        <f t="shared" si="0"/>
        <v>274999</v>
      </c>
    </row>
    <row r="19" spans="1:5" s="421" customFormat="1" x14ac:dyDescent="0.2">
      <c r="A19" s="588">
        <v>6</v>
      </c>
      <c r="B19" s="587" t="s">
        <v>424</v>
      </c>
      <c r="C19" s="589">
        <v>435071</v>
      </c>
      <c r="D19" s="591">
        <v>279021</v>
      </c>
      <c r="E19" s="590">
        <f t="shared" si="0"/>
        <v>-156050</v>
      </c>
    </row>
    <row r="20" spans="1:5" s="421" customFormat="1" x14ac:dyDescent="0.2">
      <c r="A20" s="588">
        <v>7</v>
      </c>
      <c r="B20" s="587" t="s">
        <v>761</v>
      </c>
      <c r="C20" s="589">
        <v>4393306</v>
      </c>
      <c r="D20" s="591">
        <v>4743689</v>
      </c>
      <c r="E20" s="590">
        <f t="shared" si="0"/>
        <v>350383</v>
      </c>
    </row>
    <row r="21" spans="1:5" s="421" customFormat="1" x14ac:dyDescent="0.2">
      <c r="A21" s="588"/>
      <c r="B21" s="592" t="s">
        <v>781</v>
      </c>
      <c r="C21" s="593">
        <f>SUM(C15+C16+C19)</f>
        <v>267662350</v>
      </c>
      <c r="D21" s="593">
        <f>SUM(D15+D16+D19)</f>
        <v>261219157</v>
      </c>
      <c r="E21" s="593">
        <f t="shared" si="0"/>
        <v>-6443193</v>
      </c>
    </row>
    <row r="22" spans="1:5" s="421" customFormat="1" x14ac:dyDescent="0.2">
      <c r="A22" s="588"/>
      <c r="B22" s="592" t="s">
        <v>465</v>
      </c>
      <c r="C22" s="593">
        <f>SUM(C14+C21)</f>
        <v>474859593</v>
      </c>
      <c r="D22" s="593">
        <f>SUM(D14+D21)</f>
        <v>471772261</v>
      </c>
      <c r="E22" s="593">
        <f t="shared" si="0"/>
        <v>-3087332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391634088</v>
      </c>
      <c r="D25" s="589">
        <v>398658983</v>
      </c>
      <c r="E25" s="590">
        <f t="shared" ref="E25:E33" si="1">D25-C25</f>
        <v>7024895</v>
      </c>
    </row>
    <row r="26" spans="1:5" s="421" customFormat="1" x14ac:dyDescent="0.2">
      <c r="A26" s="588">
        <v>2</v>
      </c>
      <c r="B26" s="587" t="s">
        <v>638</v>
      </c>
      <c r="C26" s="589">
        <v>248501261</v>
      </c>
      <c r="D26" s="591">
        <v>257285408</v>
      </c>
      <c r="E26" s="590">
        <f t="shared" si="1"/>
        <v>8784147</v>
      </c>
    </row>
    <row r="27" spans="1:5" s="421" customFormat="1" x14ac:dyDescent="0.2">
      <c r="A27" s="588">
        <v>3</v>
      </c>
      <c r="B27" s="587" t="s">
        <v>780</v>
      </c>
      <c r="C27" s="589">
        <v>52674382</v>
      </c>
      <c r="D27" s="591">
        <v>52969857</v>
      </c>
      <c r="E27" s="590">
        <f t="shared" si="1"/>
        <v>295475</v>
      </c>
    </row>
    <row r="28" spans="1:5" s="421" customFormat="1" x14ac:dyDescent="0.2">
      <c r="A28" s="588">
        <v>4</v>
      </c>
      <c r="B28" s="587" t="s">
        <v>115</v>
      </c>
      <c r="C28" s="589">
        <v>34932154</v>
      </c>
      <c r="D28" s="591">
        <v>35446769</v>
      </c>
      <c r="E28" s="590">
        <f t="shared" si="1"/>
        <v>514615</v>
      </c>
    </row>
    <row r="29" spans="1:5" s="421" customFormat="1" x14ac:dyDescent="0.2">
      <c r="A29" s="588">
        <v>5</v>
      </c>
      <c r="B29" s="587" t="s">
        <v>746</v>
      </c>
      <c r="C29" s="589">
        <v>17742228</v>
      </c>
      <c r="D29" s="591">
        <v>17523088</v>
      </c>
      <c r="E29" s="590">
        <f t="shared" si="1"/>
        <v>-219140</v>
      </c>
    </row>
    <row r="30" spans="1:5" s="421" customFormat="1" x14ac:dyDescent="0.2">
      <c r="A30" s="588">
        <v>6</v>
      </c>
      <c r="B30" s="587" t="s">
        <v>424</v>
      </c>
      <c r="C30" s="589">
        <v>707594</v>
      </c>
      <c r="D30" s="591">
        <v>760032</v>
      </c>
      <c r="E30" s="590">
        <f t="shared" si="1"/>
        <v>52438</v>
      </c>
    </row>
    <row r="31" spans="1:5" s="421" customFormat="1" x14ac:dyDescent="0.2">
      <c r="A31" s="588">
        <v>7</v>
      </c>
      <c r="B31" s="587" t="s">
        <v>761</v>
      </c>
      <c r="C31" s="590">
        <v>24491778</v>
      </c>
      <c r="D31" s="594">
        <v>31595880</v>
      </c>
      <c r="E31" s="590">
        <f t="shared" si="1"/>
        <v>7104102</v>
      </c>
    </row>
    <row r="32" spans="1:5" s="421" customFormat="1" x14ac:dyDescent="0.2">
      <c r="A32" s="588"/>
      <c r="B32" s="592" t="s">
        <v>783</v>
      </c>
      <c r="C32" s="593">
        <f>SUM(C26+C27+C30)</f>
        <v>301883237</v>
      </c>
      <c r="D32" s="593">
        <f>SUM(D26+D27+D30)</f>
        <v>311015297</v>
      </c>
      <c r="E32" s="593">
        <f t="shared" si="1"/>
        <v>9132060</v>
      </c>
    </row>
    <row r="33" spans="1:5" s="421" customFormat="1" x14ac:dyDescent="0.2">
      <c r="A33" s="588"/>
      <c r="B33" s="592" t="s">
        <v>467</v>
      </c>
      <c r="C33" s="593">
        <f>SUM(C25+C32)</f>
        <v>693517325</v>
      </c>
      <c r="D33" s="593">
        <f>SUM(D25+D32)</f>
        <v>709674280</v>
      </c>
      <c r="E33" s="593">
        <f t="shared" si="1"/>
        <v>16156955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598831331</v>
      </c>
      <c r="D36" s="590">
        <f t="shared" si="2"/>
        <v>609212087</v>
      </c>
      <c r="E36" s="590">
        <f t="shared" ref="E36:E44" si="3">D36-C36</f>
        <v>10380756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488387514</v>
      </c>
      <c r="D37" s="590">
        <f t="shared" si="2"/>
        <v>489617023</v>
      </c>
      <c r="E37" s="590">
        <f t="shared" si="3"/>
        <v>1229509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80015408</v>
      </c>
      <c r="D38" s="590">
        <f t="shared" si="2"/>
        <v>81578378</v>
      </c>
      <c r="E38" s="590">
        <f t="shared" si="3"/>
        <v>1562970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49226507</v>
      </c>
      <c r="D39" s="590">
        <f t="shared" si="2"/>
        <v>50733618</v>
      </c>
      <c r="E39" s="590">
        <f t="shared" si="3"/>
        <v>1507111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30788901</v>
      </c>
      <c r="D40" s="590">
        <f t="shared" si="2"/>
        <v>30844760</v>
      </c>
      <c r="E40" s="590">
        <f t="shared" si="3"/>
        <v>55859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1142665</v>
      </c>
      <c r="D41" s="590">
        <f t="shared" si="2"/>
        <v>1039053</v>
      </c>
      <c r="E41" s="590">
        <f t="shared" si="3"/>
        <v>-103612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28885084</v>
      </c>
      <c r="D42" s="590">
        <f t="shared" si="2"/>
        <v>36339569</v>
      </c>
      <c r="E42" s="590">
        <f t="shared" si="3"/>
        <v>7454485</v>
      </c>
    </row>
    <row r="43" spans="1:5" s="421" customFormat="1" x14ac:dyDescent="0.2">
      <c r="A43" s="588"/>
      <c r="B43" s="592" t="s">
        <v>791</v>
      </c>
      <c r="C43" s="593">
        <f>SUM(C37+C38+C41)</f>
        <v>569545587</v>
      </c>
      <c r="D43" s="593">
        <f>SUM(D37+D38+D41)</f>
        <v>572234454</v>
      </c>
      <c r="E43" s="593">
        <f t="shared" si="3"/>
        <v>2688867</v>
      </c>
    </row>
    <row r="44" spans="1:5" s="421" customFormat="1" x14ac:dyDescent="0.2">
      <c r="A44" s="588"/>
      <c r="B44" s="592" t="s">
        <v>728</v>
      </c>
      <c r="C44" s="593">
        <f>SUM(C36+C43)</f>
        <v>1168376918</v>
      </c>
      <c r="D44" s="593">
        <f>SUM(D36+D43)</f>
        <v>1181446541</v>
      </c>
      <c r="E44" s="593">
        <f t="shared" si="3"/>
        <v>13069623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90006753</v>
      </c>
      <c r="D47" s="589">
        <v>103046628</v>
      </c>
      <c r="E47" s="590">
        <f t="shared" ref="E47:E55" si="4">D47-C47</f>
        <v>13039875</v>
      </c>
    </row>
    <row r="48" spans="1:5" s="421" customFormat="1" x14ac:dyDescent="0.2">
      <c r="A48" s="588">
        <v>2</v>
      </c>
      <c r="B48" s="587" t="s">
        <v>638</v>
      </c>
      <c r="C48" s="589">
        <v>56506049</v>
      </c>
      <c r="D48" s="591">
        <v>56247005</v>
      </c>
      <c r="E48" s="590">
        <f t="shared" si="4"/>
        <v>-259044</v>
      </c>
    </row>
    <row r="49" spans="1:5" s="421" customFormat="1" x14ac:dyDescent="0.2">
      <c r="A49" s="588">
        <v>3</v>
      </c>
      <c r="B49" s="587" t="s">
        <v>780</v>
      </c>
      <c r="C49" s="589">
        <v>5402591</v>
      </c>
      <c r="D49" s="591">
        <v>6644241</v>
      </c>
      <c r="E49" s="590">
        <f t="shared" si="4"/>
        <v>1241650</v>
      </c>
    </row>
    <row r="50" spans="1:5" s="421" customFormat="1" x14ac:dyDescent="0.2">
      <c r="A50" s="588">
        <v>4</v>
      </c>
      <c r="B50" s="587" t="s">
        <v>115</v>
      </c>
      <c r="C50" s="589">
        <v>2546966</v>
      </c>
      <c r="D50" s="591">
        <v>3143611</v>
      </c>
      <c r="E50" s="590">
        <f t="shared" si="4"/>
        <v>596645</v>
      </c>
    </row>
    <row r="51" spans="1:5" s="421" customFormat="1" x14ac:dyDescent="0.2">
      <c r="A51" s="588">
        <v>5</v>
      </c>
      <c r="B51" s="587" t="s">
        <v>746</v>
      </c>
      <c r="C51" s="589">
        <v>2855625</v>
      </c>
      <c r="D51" s="591">
        <v>3500630</v>
      </c>
      <c r="E51" s="590">
        <f t="shared" si="4"/>
        <v>645005</v>
      </c>
    </row>
    <row r="52" spans="1:5" s="421" customFormat="1" x14ac:dyDescent="0.2">
      <c r="A52" s="588">
        <v>6</v>
      </c>
      <c r="B52" s="587" t="s">
        <v>424</v>
      </c>
      <c r="C52" s="589">
        <v>64687</v>
      </c>
      <c r="D52" s="591">
        <v>40426</v>
      </c>
      <c r="E52" s="590">
        <f t="shared" si="4"/>
        <v>-24261</v>
      </c>
    </row>
    <row r="53" spans="1:5" s="421" customFormat="1" x14ac:dyDescent="0.2">
      <c r="A53" s="588">
        <v>7</v>
      </c>
      <c r="B53" s="587" t="s">
        <v>761</v>
      </c>
      <c r="C53" s="589">
        <v>2420412</v>
      </c>
      <c r="D53" s="591">
        <v>1088297</v>
      </c>
      <c r="E53" s="590">
        <f t="shared" si="4"/>
        <v>-1332115</v>
      </c>
    </row>
    <row r="54" spans="1:5" s="421" customFormat="1" x14ac:dyDescent="0.2">
      <c r="A54" s="588"/>
      <c r="B54" s="592" t="s">
        <v>793</v>
      </c>
      <c r="C54" s="593">
        <f>SUM(C48+C49+C52)</f>
        <v>61973327</v>
      </c>
      <c r="D54" s="593">
        <f>SUM(D48+D49+D52)</f>
        <v>62931672</v>
      </c>
      <c r="E54" s="593">
        <f t="shared" si="4"/>
        <v>958345</v>
      </c>
    </row>
    <row r="55" spans="1:5" s="421" customFormat="1" x14ac:dyDescent="0.2">
      <c r="A55" s="588"/>
      <c r="B55" s="592" t="s">
        <v>466</v>
      </c>
      <c r="C55" s="593">
        <f>SUM(C47+C54)</f>
        <v>151980080</v>
      </c>
      <c r="D55" s="593">
        <f>SUM(D47+D54)</f>
        <v>165978300</v>
      </c>
      <c r="E55" s="593">
        <f t="shared" si="4"/>
        <v>13998220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155932250</v>
      </c>
      <c r="D58" s="589">
        <v>154067872</v>
      </c>
      <c r="E58" s="590">
        <f t="shared" ref="E58:E66" si="5">D58-C58</f>
        <v>-1864378</v>
      </c>
    </row>
    <row r="59" spans="1:5" s="421" customFormat="1" x14ac:dyDescent="0.2">
      <c r="A59" s="588">
        <v>2</v>
      </c>
      <c r="B59" s="587" t="s">
        <v>638</v>
      </c>
      <c r="C59" s="589">
        <v>38538948</v>
      </c>
      <c r="D59" s="591">
        <v>44453699</v>
      </c>
      <c r="E59" s="590">
        <f t="shared" si="5"/>
        <v>5914751</v>
      </c>
    </row>
    <row r="60" spans="1:5" s="421" customFormat="1" x14ac:dyDescent="0.2">
      <c r="A60" s="588">
        <v>3</v>
      </c>
      <c r="B60" s="587" t="s">
        <v>780</v>
      </c>
      <c r="C60" s="589">
        <f>C61+C62</f>
        <v>8111661</v>
      </c>
      <c r="D60" s="591">
        <f>D61+D62</f>
        <v>7811773</v>
      </c>
      <c r="E60" s="590">
        <f t="shared" si="5"/>
        <v>-299888</v>
      </c>
    </row>
    <row r="61" spans="1:5" s="421" customFormat="1" x14ac:dyDescent="0.2">
      <c r="A61" s="588">
        <v>4</v>
      </c>
      <c r="B61" s="587" t="s">
        <v>115</v>
      </c>
      <c r="C61" s="589">
        <v>5682064</v>
      </c>
      <c r="D61" s="591">
        <v>5624228</v>
      </c>
      <c r="E61" s="590">
        <f t="shared" si="5"/>
        <v>-57836</v>
      </c>
    </row>
    <row r="62" spans="1:5" s="421" customFormat="1" x14ac:dyDescent="0.2">
      <c r="A62" s="588">
        <v>5</v>
      </c>
      <c r="B62" s="587" t="s">
        <v>746</v>
      </c>
      <c r="C62" s="589">
        <v>2429597</v>
      </c>
      <c r="D62" s="591">
        <v>2187545</v>
      </c>
      <c r="E62" s="590">
        <f t="shared" si="5"/>
        <v>-242052</v>
      </c>
    </row>
    <row r="63" spans="1:5" s="421" customFormat="1" x14ac:dyDescent="0.2">
      <c r="A63" s="588">
        <v>6</v>
      </c>
      <c r="B63" s="587" t="s">
        <v>424</v>
      </c>
      <c r="C63" s="589">
        <v>180036</v>
      </c>
      <c r="D63" s="591">
        <v>126261</v>
      </c>
      <c r="E63" s="590">
        <f t="shared" si="5"/>
        <v>-53775</v>
      </c>
    </row>
    <row r="64" spans="1:5" s="421" customFormat="1" x14ac:dyDescent="0.2">
      <c r="A64" s="588">
        <v>7</v>
      </c>
      <c r="B64" s="587" t="s">
        <v>761</v>
      </c>
      <c r="C64" s="589">
        <v>1721063</v>
      </c>
      <c r="D64" s="591">
        <v>2341069</v>
      </c>
      <c r="E64" s="590">
        <f t="shared" si="5"/>
        <v>620006</v>
      </c>
    </row>
    <row r="65" spans="1:5" s="421" customFormat="1" x14ac:dyDescent="0.2">
      <c r="A65" s="588"/>
      <c r="B65" s="592" t="s">
        <v>795</v>
      </c>
      <c r="C65" s="593">
        <f>SUM(C59+C60+C63)</f>
        <v>46830645</v>
      </c>
      <c r="D65" s="593">
        <f>SUM(D59+D60+D63)</f>
        <v>52391733</v>
      </c>
      <c r="E65" s="593">
        <f t="shared" si="5"/>
        <v>5561088</v>
      </c>
    </row>
    <row r="66" spans="1:5" s="421" customFormat="1" x14ac:dyDescent="0.2">
      <c r="A66" s="588"/>
      <c r="B66" s="592" t="s">
        <v>468</v>
      </c>
      <c r="C66" s="593">
        <f>SUM(C58+C65)</f>
        <v>202762895</v>
      </c>
      <c r="D66" s="593">
        <f>SUM(D58+D65)</f>
        <v>206459605</v>
      </c>
      <c r="E66" s="593">
        <f t="shared" si="5"/>
        <v>3696710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245939003</v>
      </c>
      <c r="D69" s="590">
        <f t="shared" si="6"/>
        <v>257114500</v>
      </c>
      <c r="E69" s="590">
        <f t="shared" ref="E69:E77" si="7">D69-C69</f>
        <v>11175497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95044997</v>
      </c>
      <c r="D70" s="590">
        <f t="shared" si="6"/>
        <v>100700704</v>
      </c>
      <c r="E70" s="590">
        <f t="shared" si="7"/>
        <v>5655707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13514252</v>
      </c>
      <c r="D71" s="590">
        <f t="shared" si="6"/>
        <v>14456014</v>
      </c>
      <c r="E71" s="590">
        <f t="shared" si="7"/>
        <v>941762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8229030</v>
      </c>
      <c r="D72" s="590">
        <f t="shared" si="6"/>
        <v>8767839</v>
      </c>
      <c r="E72" s="590">
        <f t="shared" si="7"/>
        <v>538809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5285222</v>
      </c>
      <c r="D73" s="590">
        <f t="shared" si="6"/>
        <v>5688175</v>
      </c>
      <c r="E73" s="590">
        <f t="shared" si="7"/>
        <v>402953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244723</v>
      </c>
      <c r="D74" s="590">
        <f t="shared" si="6"/>
        <v>166687</v>
      </c>
      <c r="E74" s="590">
        <f t="shared" si="7"/>
        <v>-78036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4141475</v>
      </c>
      <c r="D75" s="590">
        <f t="shared" si="6"/>
        <v>3429366</v>
      </c>
      <c r="E75" s="590">
        <f t="shared" si="7"/>
        <v>-712109</v>
      </c>
    </row>
    <row r="76" spans="1:5" s="421" customFormat="1" x14ac:dyDescent="0.2">
      <c r="A76" s="588"/>
      <c r="B76" s="592" t="s">
        <v>796</v>
      </c>
      <c r="C76" s="593">
        <f>SUM(C70+C71+C74)</f>
        <v>108803972</v>
      </c>
      <c r="D76" s="593">
        <f>SUM(D70+D71+D74)</f>
        <v>115323405</v>
      </c>
      <c r="E76" s="593">
        <f t="shared" si="7"/>
        <v>6519433</v>
      </c>
    </row>
    <row r="77" spans="1:5" s="421" customFormat="1" x14ac:dyDescent="0.2">
      <c r="A77" s="588"/>
      <c r="B77" s="592" t="s">
        <v>729</v>
      </c>
      <c r="C77" s="593">
        <f>SUM(C69+C76)</f>
        <v>354742975</v>
      </c>
      <c r="D77" s="593">
        <f>SUM(D69+D76)</f>
        <v>372437905</v>
      </c>
      <c r="E77" s="593">
        <f t="shared" si="7"/>
        <v>17694930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0.17733767229386502</v>
      </c>
      <c r="D83" s="599">
        <f t="shared" si="8"/>
        <v>0.17821636163222726</v>
      </c>
      <c r="E83" s="599">
        <f t="shared" ref="E83:E91" si="9">D83-C83</f>
        <v>8.7868933836224294E-4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0.20531580973940466</v>
      </c>
      <c r="D84" s="599">
        <f t="shared" si="8"/>
        <v>0.19665012925878972</v>
      </c>
      <c r="E84" s="599">
        <f t="shared" si="9"/>
        <v>-8.6656804806149457E-3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2.3400861125193847E-2</v>
      </c>
      <c r="D85" s="599">
        <f t="shared" si="8"/>
        <v>2.4214824799254291E-2</v>
      </c>
      <c r="E85" s="599">
        <f t="shared" si="9"/>
        <v>8.1396367406044376E-4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1.2234367848064592E-2</v>
      </c>
      <c r="D86" s="599">
        <f t="shared" si="8"/>
        <v>1.2939094973405148E-2</v>
      </c>
      <c r="E86" s="599">
        <f t="shared" si="9"/>
        <v>7.0472712534055612E-4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1.1166493277129257E-2</v>
      </c>
      <c r="D87" s="599">
        <f t="shared" si="8"/>
        <v>1.1275729825849141E-2</v>
      </c>
      <c r="E87" s="599">
        <f t="shared" si="9"/>
        <v>1.0923654871988417E-4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3.7237212863186671E-4</v>
      </c>
      <c r="D88" s="599">
        <f t="shared" si="8"/>
        <v>2.3616895925213091E-4</v>
      </c>
      <c r="E88" s="599">
        <f t="shared" si="9"/>
        <v>-1.3620316937973579E-4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3.7601786994563E-3</v>
      </c>
      <c r="D89" s="599">
        <f t="shared" si="8"/>
        <v>4.0151533187314991E-3</v>
      </c>
      <c r="E89" s="599">
        <f t="shared" si="9"/>
        <v>2.5497461927519909E-4</v>
      </c>
    </row>
    <row r="90" spans="1:5" s="421" customFormat="1" x14ac:dyDescent="0.2">
      <c r="A90" s="588"/>
      <c r="B90" s="592" t="s">
        <v>799</v>
      </c>
      <c r="C90" s="600">
        <f>SUM(C84+C85+C88)</f>
        <v>0.22908904299323038</v>
      </c>
      <c r="D90" s="600">
        <f>SUM(D84+D85+D88)</f>
        <v>0.22110112301729615</v>
      </c>
      <c r="E90" s="601">
        <f t="shared" si="9"/>
        <v>-7.9879199759342323E-3</v>
      </c>
    </row>
    <row r="91" spans="1:5" s="421" customFormat="1" x14ac:dyDescent="0.2">
      <c r="A91" s="588"/>
      <c r="B91" s="592" t="s">
        <v>800</v>
      </c>
      <c r="C91" s="600">
        <f>SUM(C83+C90)</f>
        <v>0.4064267152870954</v>
      </c>
      <c r="D91" s="600">
        <f>SUM(D83+D90)</f>
        <v>0.39931748464952344</v>
      </c>
      <c r="E91" s="601">
        <f t="shared" si="9"/>
        <v>-7.1092306375719616E-3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0.33519498884862425</v>
      </c>
      <c r="D95" s="599">
        <f t="shared" si="10"/>
        <v>0.33743294272338981</v>
      </c>
      <c r="E95" s="599">
        <f t="shared" ref="E95:E103" si="11">D95-C95</f>
        <v>2.2379538747655525E-3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0.21268929330218075</v>
      </c>
      <c r="D96" s="599">
        <f t="shared" si="10"/>
        <v>0.21777151912623019</v>
      </c>
      <c r="E96" s="599">
        <f t="shared" si="11"/>
        <v>5.0822258240494356E-3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4.5083381217566984E-2</v>
      </c>
      <c r="D97" s="599">
        <f t="shared" si="10"/>
        <v>4.4834747203343836E-2</v>
      </c>
      <c r="E97" s="599">
        <f t="shared" si="11"/>
        <v>-2.4863401422314801E-4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2.9898017892886857E-2</v>
      </c>
      <c r="D98" s="599">
        <f t="shared" si="10"/>
        <v>3.0002854780036975E-2</v>
      </c>
      <c r="E98" s="599">
        <f t="shared" si="11"/>
        <v>1.0483688715011777E-4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1.5185363324680127E-2</v>
      </c>
      <c r="D99" s="599">
        <f t="shared" si="10"/>
        <v>1.4831892423306863E-2</v>
      </c>
      <c r="E99" s="599">
        <f t="shared" si="11"/>
        <v>-3.5347090137326405E-4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6.056213445325869E-4</v>
      </c>
      <c r="D100" s="599">
        <f t="shared" si="10"/>
        <v>6.433062975127878E-4</v>
      </c>
      <c r="E100" s="599">
        <f t="shared" si="11"/>
        <v>3.7684952980200897E-5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2.0962223425232029E-2</v>
      </c>
      <c r="D101" s="599">
        <f t="shared" si="10"/>
        <v>2.6743385251487228E-2</v>
      </c>
      <c r="E101" s="599">
        <f t="shared" si="11"/>
        <v>5.7811618262551996E-3</v>
      </c>
    </row>
    <row r="102" spans="1:5" s="421" customFormat="1" x14ac:dyDescent="0.2">
      <c r="A102" s="588"/>
      <c r="B102" s="592" t="s">
        <v>802</v>
      </c>
      <c r="C102" s="600">
        <f>SUM(C96+C97+C100)</f>
        <v>0.25837829586428029</v>
      </c>
      <c r="D102" s="600">
        <f>SUM(D96+D97+D100)</f>
        <v>0.26324957262708681</v>
      </c>
      <c r="E102" s="601">
        <f t="shared" si="11"/>
        <v>4.8712767628065201E-3</v>
      </c>
    </row>
    <row r="103" spans="1:5" s="421" customFormat="1" x14ac:dyDescent="0.2">
      <c r="A103" s="588"/>
      <c r="B103" s="592" t="s">
        <v>803</v>
      </c>
      <c r="C103" s="600">
        <f>SUM(C95+C102)</f>
        <v>0.59357328471290449</v>
      </c>
      <c r="D103" s="600">
        <f>SUM(D95+D102)</f>
        <v>0.60068251535047668</v>
      </c>
      <c r="E103" s="601">
        <f t="shared" si="11"/>
        <v>7.1092306375721837E-3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0.99999999999999989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0.25372384893597966</v>
      </c>
      <c r="D109" s="599">
        <f t="shared" si="12"/>
        <v>0.27668136517951897</v>
      </c>
      <c r="E109" s="599">
        <f t="shared" ref="E109:E117" si="13">D109-C109</f>
        <v>2.2957516243539311E-2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0.1592872952593353</v>
      </c>
      <c r="D110" s="599">
        <f t="shared" si="12"/>
        <v>0.15102384651207831</v>
      </c>
      <c r="E110" s="599">
        <f t="shared" si="13"/>
        <v>-8.2634487472569851E-3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1.5229592636753412E-2</v>
      </c>
      <c r="D111" s="599">
        <f t="shared" si="12"/>
        <v>1.7839862459756883E-2</v>
      </c>
      <c r="E111" s="599">
        <f t="shared" si="13"/>
        <v>2.6102698230034711E-3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7.1797503530549129E-3</v>
      </c>
      <c r="D112" s="599">
        <f t="shared" si="12"/>
        <v>8.4406311972998558E-3</v>
      </c>
      <c r="E112" s="599">
        <f t="shared" si="13"/>
        <v>1.2608808442449429E-3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8.0498422836985002E-3</v>
      </c>
      <c r="D113" s="599">
        <f t="shared" si="12"/>
        <v>9.3992312624570258E-3</v>
      </c>
      <c r="E113" s="599">
        <f t="shared" si="13"/>
        <v>1.3493889787585256E-3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1.8234892459815448E-4</v>
      </c>
      <c r="D114" s="599">
        <f t="shared" si="12"/>
        <v>1.0854426860767569E-4</v>
      </c>
      <c r="E114" s="599">
        <f t="shared" si="13"/>
        <v>-7.3804655990478789E-5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6.8230019213206409E-3</v>
      </c>
      <c r="D115" s="599">
        <f t="shared" si="12"/>
        <v>2.9220897910485241E-3</v>
      </c>
      <c r="E115" s="599">
        <f t="shared" si="13"/>
        <v>-3.9009121302721167E-3</v>
      </c>
    </row>
    <row r="116" spans="1:5" s="421" customFormat="1" x14ac:dyDescent="0.2">
      <c r="A116" s="588"/>
      <c r="B116" s="592" t="s">
        <v>799</v>
      </c>
      <c r="C116" s="600">
        <f>SUM(C110+C111+C114)</f>
        <v>0.17469923682068686</v>
      </c>
      <c r="D116" s="600">
        <f>SUM(D110+D111+D114)</f>
        <v>0.16897225324044288</v>
      </c>
      <c r="E116" s="601">
        <f t="shared" si="13"/>
        <v>-5.7269835802439828E-3</v>
      </c>
    </row>
    <row r="117" spans="1:5" s="421" customFormat="1" x14ac:dyDescent="0.2">
      <c r="A117" s="588"/>
      <c r="B117" s="592" t="s">
        <v>800</v>
      </c>
      <c r="C117" s="600">
        <f>SUM(C109+C116)</f>
        <v>0.42842308575666654</v>
      </c>
      <c r="D117" s="600">
        <f>SUM(D109+D116)</f>
        <v>0.44565361841996187</v>
      </c>
      <c r="E117" s="601">
        <f t="shared" si="13"/>
        <v>1.7230532663295328E-2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0.43956402519316978</v>
      </c>
      <c r="D121" s="599">
        <f t="shared" si="14"/>
        <v>0.41367398412360845</v>
      </c>
      <c r="E121" s="599">
        <f t="shared" ref="E121:E129" si="15">D121-C121</f>
        <v>-2.5890041069561331E-2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0.10863907312047547</v>
      </c>
      <c r="D122" s="599">
        <f t="shared" si="14"/>
        <v>0.11935868611440073</v>
      </c>
      <c r="E122" s="599">
        <f t="shared" si="15"/>
        <v>1.0719612993925265E-2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2.286630482252679E-2</v>
      </c>
      <c r="D123" s="599">
        <f t="shared" si="14"/>
        <v>2.0974699124676904E-2</v>
      </c>
      <c r="E123" s="599">
        <f t="shared" si="15"/>
        <v>-1.8916056978498866E-3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1.601741091560728E-2</v>
      </c>
      <c r="D124" s="599">
        <f t="shared" si="14"/>
        <v>1.5101115983347613E-2</v>
      </c>
      <c r="E124" s="599">
        <f t="shared" si="15"/>
        <v>-9.1629493225966682E-4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6.84889390691951E-3</v>
      </c>
      <c r="D125" s="599">
        <f t="shared" si="14"/>
        <v>5.8735831413292911E-3</v>
      </c>
      <c r="E125" s="599">
        <f t="shared" si="15"/>
        <v>-9.7531076559021889E-4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5.075111071614596E-4</v>
      </c>
      <c r="D126" s="599">
        <f t="shared" si="14"/>
        <v>3.3901221735204421E-4</v>
      </c>
      <c r="E126" s="599">
        <f t="shared" si="15"/>
        <v>-1.6849888980941538E-4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4.8515773991014196E-3</v>
      </c>
      <c r="D127" s="599">
        <f t="shared" si="14"/>
        <v>6.2857968229630117E-3</v>
      </c>
      <c r="E127" s="599">
        <f t="shared" si="15"/>
        <v>1.4342194238615921E-3</v>
      </c>
    </row>
    <row r="128" spans="1:5" s="421" customFormat="1" x14ac:dyDescent="0.2">
      <c r="A128" s="588"/>
      <c r="B128" s="592" t="s">
        <v>802</v>
      </c>
      <c r="C128" s="600">
        <f>SUM(C122+C123+C126)</f>
        <v>0.13201288905016373</v>
      </c>
      <c r="D128" s="600">
        <f>SUM(D122+D123+D126)</f>
        <v>0.14067239745642968</v>
      </c>
      <c r="E128" s="601">
        <f t="shared" si="15"/>
        <v>8.6595084062659478E-3</v>
      </c>
    </row>
    <row r="129" spans="1:5" s="421" customFormat="1" x14ac:dyDescent="0.2">
      <c r="A129" s="588"/>
      <c r="B129" s="592" t="s">
        <v>803</v>
      </c>
      <c r="C129" s="600">
        <f>SUM(C121+C128)</f>
        <v>0.57157691424333357</v>
      </c>
      <c r="D129" s="600">
        <f>SUM(D121+D128)</f>
        <v>0.55434638158003813</v>
      </c>
      <c r="E129" s="601">
        <f t="shared" si="15"/>
        <v>-1.7230532663295439E-2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7654</v>
      </c>
      <c r="D137" s="606">
        <v>7782</v>
      </c>
      <c r="E137" s="607">
        <f t="shared" ref="E137:E145" si="16">D137-C137</f>
        <v>128</v>
      </c>
    </row>
    <row r="138" spans="1:5" s="421" customFormat="1" x14ac:dyDescent="0.2">
      <c r="A138" s="588">
        <v>2</v>
      </c>
      <c r="B138" s="587" t="s">
        <v>638</v>
      </c>
      <c r="C138" s="606">
        <v>4713</v>
      </c>
      <c r="D138" s="606">
        <v>4330</v>
      </c>
      <c r="E138" s="607">
        <f t="shared" si="16"/>
        <v>-383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913</v>
      </c>
      <c r="D139" s="606">
        <f>D140+D141</f>
        <v>953</v>
      </c>
      <c r="E139" s="607">
        <f t="shared" si="16"/>
        <v>40</v>
      </c>
    </row>
    <row r="140" spans="1:5" s="421" customFormat="1" x14ac:dyDescent="0.2">
      <c r="A140" s="588">
        <v>4</v>
      </c>
      <c r="B140" s="587" t="s">
        <v>115</v>
      </c>
      <c r="C140" s="606">
        <v>470</v>
      </c>
      <c r="D140" s="606">
        <v>515</v>
      </c>
      <c r="E140" s="607">
        <f t="shared" si="16"/>
        <v>45</v>
      </c>
    </row>
    <row r="141" spans="1:5" s="421" customFormat="1" x14ac:dyDescent="0.2">
      <c r="A141" s="588">
        <v>5</v>
      </c>
      <c r="B141" s="587" t="s">
        <v>746</v>
      </c>
      <c r="C141" s="606">
        <v>443</v>
      </c>
      <c r="D141" s="606">
        <v>438</v>
      </c>
      <c r="E141" s="607">
        <f t="shared" si="16"/>
        <v>-5</v>
      </c>
    </row>
    <row r="142" spans="1:5" s="421" customFormat="1" x14ac:dyDescent="0.2">
      <c r="A142" s="588">
        <v>6</v>
      </c>
      <c r="B142" s="587" t="s">
        <v>424</v>
      </c>
      <c r="C142" s="606">
        <v>16</v>
      </c>
      <c r="D142" s="606">
        <v>12</v>
      </c>
      <c r="E142" s="607">
        <f t="shared" si="16"/>
        <v>-4</v>
      </c>
    </row>
    <row r="143" spans="1:5" s="421" customFormat="1" x14ac:dyDescent="0.2">
      <c r="A143" s="588">
        <v>7</v>
      </c>
      <c r="B143" s="587" t="s">
        <v>761</v>
      </c>
      <c r="C143" s="606">
        <v>234</v>
      </c>
      <c r="D143" s="606">
        <v>246</v>
      </c>
      <c r="E143" s="607">
        <f t="shared" si="16"/>
        <v>12</v>
      </c>
    </row>
    <row r="144" spans="1:5" s="421" customFormat="1" x14ac:dyDescent="0.2">
      <c r="A144" s="588"/>
      <c r="B144" s="592" t="s">
        <v>810</v>
      </c>
      <c r="C144" s="608">
        <f>SUM(C138+C139+C142)</f>
        <v>5642</v>
      </c>
      <c r="D144" s="608">
        <f>SUM(D138+D139+D142)</f>
        <v>5295</v>
      </c>
      <c r="E144" s="609">
        <f t="shared" si="16"/>
        <v>-347</v>
      </c>
    </row>
    <row r="145" spans="1:5" s="421" customFormat="1" x14ac:dyDescent="0.2">
      <c r="A145" s="588"/>
      <c r="B145" s="592" t="s">
        <v>138</v>
      </c>
      <c r="C145" s="608">
        <f>SUM(C137+C144)</f>
        <v>13296</v>
      </c>
      <c r="D145" s="608">
        <f>SUM(D137+D144)</f>
        <v>13077</v>
      </c>
      <c r="E145" s="609">
        <f t="shared" si="16"/>
        <v>-219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24989</v>
      </c>
      <c r="D149" s="610">
        <v>25199</v>
      </c>
      <c r="E149" s="607">
        <f t="shared" ref="E149:E157" si="17">D149-C149</f>
        <v>210</v>
      </c>
    </row>
    <row r="150" spans="1:5" s="421" customFormat="1" x14ac:dyDescent="0.2">
      <c r="A150" s="588">
        <v>2</v>
      </c>
      <c r="B150" s="587" t="s">
        <v>638</v>
      </c>
      <c r="C150" s="610">
        <v>25317</v>
      </c>
      <c r="D150" s="610">
        <v>25826</v>
      </c>
      <c r="E150" s="607">
        <f t="shared" si="17"/>
        <v>509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3468</v>
      </c>
      <c r="D151" s="610">
        <f>D152+D153</f>
        <v>3751</v>
      </c>
      <c r="E151" s="607">
        <f t="shared" si="17"/>
        <v>283</v>
      </c>
    </row>
    <row r="152" spans="1:5" s="421" customFormat="1" x14ac:dyDescent="0.2">
      <c r="A152" s="588">
        <v>4</v>
      </c>
      <c r="B152" s="587" t="s">
        <v>115</v>
      </c>
      <c r="C152" s="610">
        <v>1861</v>
      </c>
      <c r="D152" s="610">
        <v>2053</v>
      </c>
      <c r="E152" s="607">
        <f t="shared" si="17"/>
        <v>192</v>
      </c>
    </row>
    <row r="153" spans="1:5" s="421" customFormat="1" x14ac:dyDescent="0.2">
      <c r="A153" s="588">
        <v>5</v>
      </c>
      <c r="B153" s="587" t="s">
        <v>746</v>
      </c>
      <c r="C153" s="611">
        <v>1607</v>
      </c>
      <c r="D153" s="610">
        <v>1698</v>
      </c>
      <c r="E153" s="607">
        <f t="shared" si="17"/>
        <v>91</v>
      </c>
    </row>
    <row r="154" spans="1:5" s="421" customFormat="1" x14ac:dyDescent="0.2">
      <c r="A154" s="588">
        <v>6</v>
      </c>
      <c r="B154" s="587" t="s">
        <v>424</v>
      </c>
      <c r="C154" s="610">
        <v>66</v>
      </c>
      <c r="D154" s="610">
        <v>51</v>
      </c>
      <c r="E154" s="607">
        <f t="shared" si="17"/>
        <v>-15</v>
      </c>
    </row>
    <row r="155" spans="1:5" s="421" customFormat="1" x14ac:dyDescent="0.2">
      <c r="A155" s="588">
        <v>7</v>
      </c>
      <c r="B155" s="587" t="s">
        <v>761</v>
      </c>
      <c r="C155" s="610">
        <v>716</v>
      </c>
      <c r="D155" s="610">
        <v>749</v>
      </c>
      <c r="E155" s="607">
        <f t="shared" si="17"/>
        <v>33</v>
      </c>
    </row>
    <row r="156" spans="1:5" s="421" customFormat="1" x14ac:dyDescent="0.2">
      <c r="A156" s="588"/>
      <c r="B156" s="592" t="s">
        <v>811</v>
      </c>
      <c r="C156" s="608">
        <f>SUM(C150+C151+C154)</f>
        <v>28851</v>
      </c>
      <c r="D156" s="608">
        <f>SUM(D150+D151+D154)</f>
        <v>29628</v>
      </c>
      <c r="E156" s="609">
        <f t="shared" si="17"/>
        <v>777</v>
      </c>
    </row>
    <row r="157" spans="1:5" s="421" customFormat="1" x14ac:dyDescent="0.2">
      <c r="A157" s="588"/>
      <c r="B157" s="592" t="s">
        <v>140</v>
      </c>
      <c r="C157" s="608">
        <f>SUM(C149+C156)</f>
        <v>53840</v>
      </c>
      <c r="D157" s="608">
        <f>SUM(D149+D156)</f>
        <v>54827</v>
      </c>
      <c r="E157" s="609">
        <f t="shared" si="17"/>
        <v>987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3.2648288476613536</v>
      </c>
      <c r="D161" s="612">
        <f t="shared" si="18"/>
        <v>3.238113595476741</v>
      </c>
      <c r="E161" s="613">
        <f t="shared" ref="E161:E169" si="19">D161-C161</f>
        <v>-2.671525218461257E-2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5.3717377466581793</v>
      </c>
      <c r="D162" s="612">
        <f t="shared" si="18"/>
        <v>5.9644341801385679</v>
      </c>
      <c r="E162" s="613">
        <f t="shared" si="19"/>
        <v>0.59269643348038858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3.7984665936473165</v>
      </c>
      <c r="D163" s="612">
        <f t="shared" si="18"/>
        <v>3.9359916054564534</v>
      </c>
      <c r="E163" s="613">
        <f t="shared" si="19"/>
        <v>0.1375250118091369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3.9595744680851066</v>
      </c>
      <c r="D164" s="612">
        <f t="shared" si="18"/>
        <v>3.9864077669902911</v>
      </c>
      <c r="E164" s="613">
        <f t="shared" si="19"/>
        <v>2.6833298905184488E-2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3.6275395033860045</v>
      </c>
      <c r="D165" s="612">
        <f t="shared" si="18"/>
        <v>3.8767123287671232</v>
      </c>
      <c r="E165" s="613">
        <f t="shared" si="19"/>
        <v>0.24917282538111873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4.125</v>
      </c>
      <c r="D166" s="612">
        <f t="shared" si="18"/>
        <v>4.25</v>
      </c>
      <c r="E166" s="613">
        <f t="shared" si="19"/>
        <v>0.125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3.0598290598290596</v>
      </c>
      <c r="D167" s="612">
        <f t="shared" si="18"/>
        <v>3.0447154471544717</v>
      </c>
      <c r="E167" s="613">
        <f t="shared" si="19"/>
        <v>-1.5113612674587884E-2</v>
      </c>
    </row>
    <row r="168" spans="1:5" s="421" customFormat="1" x14ac:dyDescent="0.2">
      <c r="A168" s="588"/>
      <c r="B168" s="592" t="s">
        <v>813</v>
      </c>
      <c r="C168" s="614">
        <f t="shared" si="18"/>
        <v>5.1136121942573558</v>
      </c>
      <c r="D168" s="614">
        <f t="shared" si="18"/>
        <v>5.5954674220963172</v>
      </c>
      <c r="E168" s="615">
        <f t="shared" si="19"/>
        <v>0.4818552278389614</v>
      </c>
    </row>
    <row r="169" spans="1:5" s="421" customFormat="1" x14ac:dyDescent="0.2">
      <c r="A169" s="588"/>
      <c r="B169" s="592" t="s">
        <v>747</v>
      </c>
      <c r="C169" s="614">
        <f t="shared" si="18"/>
        <v>4.0493381468110714</v>
      </c>
      <c r="D169" s="614">
        <f t="shared" si="18"/>
        <v>4.1926282786571845</v>
      </c>
      <c r="E169" s="615">
        <f t="shared" si="19"/>
        <v>0.14329013184611306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0.90549999999999997</v>
      </c>
      <c r="D173" s="617">
        <f t="shared" si="20"/>
        <v>0.93523000000000001</v>
      </c>
      <c r="E173" s="618">
        <f t="shared" ref="E173:E181" si="21">D173-C173</f>
        <v>2.9730000000000034E-2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1.5670500000000001</v>
      </c>
      <c r="D174" s="617">
        <f t="shared" si="20"/>
        <v>1.66913</v>
      </c>
      <c r="E174" s="618">
        <f t="shared" si="21"/>
        <v>0.10207999999999995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1.0067463745892662</v>
      </c>
      <c r="D175" s="617">
        <f t="shared" si="20"/>
        <v>1.0342786568730327</v>
      </c>
      <c r="E175" s="618">
        <f t="shared" si="21"/>
        <v>2.7532282283766474E-2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1.0079400000000001</v>
      </c>
      <c r="D176" s="617">
        <f t="shared" si="20"/>
        <v>1.03688</v>
      </c>
      <c r="E176" s="618">
        <f t="shared" si="21"/>
        <v>2.8939999999999966E-2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1.0054799999999999</v>
      </c>
      <c r="D177" s="617">
        <f t="shared" si="20"/>
        <v>1.03122</v>
      </c>
      <c r="E177" s="618">
        <f t="shared" si="21"/>
        <v>2.5740000000000096E-2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0.90332999999999997</v>
      </c>
      <c r="D178" s="617">
        <f t="shared" si="20"/>
        <v>0.6831299999999999</v>
      </c>
      <c r="E178" s="618">
        <f t="shared" si="21"/>
        <v>-0.22020000000000006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0.98980999999999997</v>
      </c>
      <c r="D179" s="617">
        <f t="shared" si="20"/>
        <v>0.99141999999999997</v>
      </c>
      <c r="E179" s="618">
        <f t="shared" si="21"/>
        <v>1.6100000000000003E-3</v>
      </c>
    </row>
    <row r="180" spans="1:5" s="421" customFormat="1" x14ac:dyDescent="0.2">
      <c r="A180" s="588"/>
      <c r="B180" s="592" t="s">
        <v>815</v>
      </c>
      <c r="C180" s="619">
        <f t="shared" si="20"/>
        <v>1.4744982931584545</v>
      </c>
      <c r="D180" s="619">
        <f t="shared" si="20"/>
        <v>1.5526341869688389</v>
      </c>
      <c r="E180" s="620">
        <f t="shared" si="21"/>
        <v>7.8135893810384438E-2</v>
      </c>
    </row>
    <row r="181" spans="1:5" s="421" customFormat="1" x14ac:dyDescent="0.2">
      <c r="A181" s="588"/>
      <c r="B181" s="592" t="s">
        <v>726</v>
      </c>
      <c r="C181" s="619">
        <f t="shared" si="20"/>
        <v>1.146947681257521</v>
      </c>
      <c r="D181" s="619">
        <f t="shared" si="20"/>
        <v>1.1852227483367748</v>
      </c>
      <c r="E181" s="620">
        <f t="shared" si="21"/>
        <v>3.8275067079253766E-2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817</v>
      </c>
      <c r="C185" s="589">
        <v>550833535</v>
      </c>
      <c r="D185" s="589">
        <v>558998809</v>
      </c>
      <c r="E185" s="590">
        <f>D185-C185</f>
        <v>8165274</v>
      </c>
    </row>
    <row r="186" spans="1:5" s="421" customFormat="1" ht="25.5" x14ac:dyDescent="0.2">
      <c r="A186" s="588">
        <v>2</v>
      </c>
      <c r="B186" s="587" t="s">
        <v>818</v>
      </c>
      <c r="C186" s="589">
        <v>232113196</v>
      </c>
      <c r="D186" s="589">
        <v>246654632</v>
      </c>
      <c r="E186" s="590">
        <f>D186-C186</f>
        <v>14541436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318720339</v>
      </c>
      <c r="D188" s="622">
        <f>+D185-D186</f>
        <v>312344177</v>
      </c>
      <c r="E188" s="590">
        <f t="shared" ref="E188:E197" si="22">D188-C188</f>
        <v>-6376162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0.57861462447089396</v>
      </c>
      <c r="D189" s="623">
        <f>IF(D185=0,0,+D188/D185)</f>
        <v>0.55875642661700198</v>
      </c>
      <c r="E189" s="599">
        <f t="shared" si="22"/>
        <v>-1.9858197853891979E-2</v>
      </c>
    </row>
    <row r="190" spans="1:5" s="421" customFormat="1" x14ac:dyDescent="0.2">
      <c r="A190" s="588">
        <v>5</v>
      </c>
      <c r="B190" s="587" t="s">
        <v>765</v>
      </c>
      <c r="C190" s="589">
        <v>19112712</v>
      </c>
      <c r="D190" s="589">
        <v>13873710</v>
      </c>
      <c r="E190" s="622">
        <f t="shared" si="22"/>
        <v>-5239002</v>
      </c>
    </row>
    <row r="191" spans="1:5" s="421" customFormat="1" x14ac:dyDescent="0.2">
      <c r="A191" s="588">
        <v>6</v>
      </c>
      <c r="B191" s="587" t="s">
        <v>751</v>
      </c>
      <c r="C191" s="589">
        <v>9428381</v>
      </c>
      <c r="D191" s="589">
        <v>6843208</v>
      </c>
      <c r="E191" s="622">
        <f t="shared" si="22"/>
        <v>-2585173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20529798</v>
      </c>
      <c r="D193" s="589">
        <v>25342402</v>
      </c>
      <c r="E193" s="622">
        <f t="shared" si="22"/>
        <v>4812604</v>
      </c>
    </row>
    <row r="194" spans="1:5" s="421" customFormat="1" x14ac:dyDescent="0.2">
      <c r="A194" s="588">
        <v>9</v>
      </c>
      <c r="B194" s="587" t="s">
        <v>821</v>
      </c>
      <c r="C194" s="589">
        <v>12337894</v>
      </c>
      <c r="D194" s="589">
        <v>15919399</v>
      </c>
      <c r="E194" s="622">
        <f t="shared" si="22"/>
        <v>3581505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32867692</v>
      </c>
      <c r="D195" s="589">
        <f>+D193+D194</f>
        <v>41261801</v>
      </c>
      <c r="E195" s="625">
        <f t="shared" si="22"/>
        <v>8394109</v>
      </c>
    </row>
    <row r="196" spans="1:5" s="421" customFormat="1" x14ac:dyDescent="0.2">
      <c r="A196" s="588">
        <v>11</v>
      </c>
      <c r="B196" s="587" t="s">
        <v>823</v>
      </c>
      <c r="C196" s="589">
        <v>20320014</v>
      </c>
      <c r="D196" s="589">
        <v>21109490</v>
      </c>
      <c r="E196" s="622">
        <f t="shared" si="22"/>
        <v>789476</v>
      </c>
    </row>
    <row r="197" spans="1:5" s="421" customFormat="1" x14ac:dyDescent="0.2">
      <c r="A197" s="588">
        <v>12</v>
      </c>
      <c r="B197" s="587" t="s">
        <v>713</v>
      </c>
      <c r="C197" s="589">
        <v>328168956</v>
      </c>
      <c r="D197" s="589">
        <v>342552775</v>
      </c>
      <c r="E197" s="622">
        <f t="shared" si="22"/>
        <v>14383819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6930.6970000000001</v>
      </c>
      <c r="D203" s="629">
        <v>7277.9598599999999</v>
      </c>
      <c r="E203" s="630">
        <f t="shared" ref="E203:E211" si="23">D203-C203</f>
        <v>347.26285999999982</v>
      </c>
    </row>
    <row r="204" spans="1:5" s="421" customFormat="1" x14ac:dyDescent="0.2">
      <c r="A204" s="588">
        <v>2</v>
      </c>
      <c r="B204" s="587" t="s">
        <v>638</v>
      </c>
      <c r="C204" s="629">
        <v>7385.5066500000003</v>
      </c>
      <c r="D204" s="629">
        <v>7227.3329000000003</v>
      </c>
      <c r="E204" s="630">
        <f t="shared" si="23"/>
        <v>-158.17374999999993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919.15944000000002</v>
      </c>
      <c r="D205" s="629">
        <f>D206+D207</f>
        <v>985.66756000000009</v>
      </c>
      <c r="E205" s="630">
        <f t="shared" si="23"/>
        <v>66.508120000000076</v>
      </c>
    </row>
    <row r="206" spans="1:5" s="421" customFormat="1" x14ac:dyDescent="0.2">
      <c r="A206" s="588">
        <v>4</v>
      </c>
      <c r="B206" s="587" t="s">
        <v>115</v>
      </c>
      <c r="C206" s="629">
        <v>473.73180000000002</v>
      </c>
      <c r="D206" s="629">
        <v>533.9932</v>
      </c>
      <c r="E206" s="630">
        <f t="shared" si="23"/>
        <v>60.261399999999981</v>
      </c>
    </row>
    <row r="207" spans="1:5" s="421" customFormat="1" x14ac:dyDescent="0.2">
      <c r="A207" s="588">
        <v>5</v>
      </c>
      <c r="B207" s="587" t="s">
        <v>746</v>
      </c>
      <c r="C207" s="629">
        <v>445.42764</v>
      </c>
      <c r="D207" s="629">
        <v>451.67436000000004</v>
      </c>
      <c r="E207" s="630">
        <f t="shared" si="23"/>
        <v>6.2467200000000389</v>
      </c>
    </row>
    <row r="208" spans="1:5" s="421" customFormat="1" x14ac:dyDescent="0.2">
      <c r="A208" s="588">
        <v>6</v>
      </c>
      <c r="B208" s="587" t="s">
        <v>424</v>
      </c>
      <c r="C208" s="629">
        <v>14.453279999999999</v>
      </c>
      <c r="D208" s="629">
        <v>8.1975599999999993</v>
      </c>
      <c r="E208" s="630">
        <f t="shared" si="23"/>
        <v>-6.2557200000000002</v>
      </c>
    </row>
    <row r="209" spans="1:5" s="421" customFormat="1" x14ac:dyDescent="0.2">
      <c r="A209" s="588">
        <v>7</v>
      </c>
      <c r="B209" s="587" t="s">
        <v>761</v>
      </c>
      <c r="C209" s="629">
        <v>231.61553999999998</v>
      </c>
      <c r="D209" s="629">
        <v>243.88932</v>
      </c>
      <c r="E209" s="630">
        <f t="shared" si="23"/>
        <v>12.273780000000016</v>
      </c>
    </row>
    <row r="210" spans="1:5" s="421" customFormat="1" x14ac:dyDescent="0.2">
      <c r="A210" s="588"/>
      <c r="B210" s="592" t="s">
        <v>826</v>
      </c>
      <c r="C210" s="631">
        <f>C204+C205+C208</f>
        <v>8319.1193700000003</v>
      </c>
      <c r="D210" s="631">
        <f>D204+D205+D208</f>
        <v>8221.1980200000016</v>
      </c>
      <c r="E210" s="632">
        <f t="shared" si="23"/>
        <v>-97.921349999998711</v>
      </c>
    </row>
    <row r="211" spans="1:5" s="421" customFormat="1" x14ac:dyDescent="0.2">
      <c r="A211" s="588"/>
      <c r="B211" s="592" t="s">
        <v>727</v>
      </c>
      <c r="C211" s="631">
        <f>C210+C203</f>
        <v>15249.81637</v>
      </c>
      <c r="D211" s="631">
        <f>D210+D203</f>
        <v>15499.157880000002</v>
      </c>
      <c r="E211" s="632">
        <f t="shared" si="23"/>
        <v>249.34151000000202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14467.216195304296</v>
      </c>
      <c r="D215" s="633">
        <f>IF(D14*D137=0,0,D25/D14*D137)</f>
        <v>14734.355118820762</v>
      </c>
      <c r="E215" s="633">
        <f t="shared" ref="E215:E223" si="24">D215-C215</f>
        <v>267.13892351646609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4882.2574384577183</v>
      </c>
      <c r="D216" s="633">
        <f>IF(D15*D138=0,0,D26/D15*D138)</f>
        <v>4795.0676735923353</v>
      </c>
      <c r="E216" s="633">
        <f t="shared" si="24"/>
        <v>-87.18976486538304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1751.0109614187293</v>
      </c>
      <c r="D217" s="633">
        <f>D218+D219</f>
        <v>1770.3066478747978</v>
      </c>
      <c r="E217" s="633">
        <f t="shared" si="24"/>
        <v>19.295686456068552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1148.5733128319976</v>
      </c>
      <c r="D218" s="633">
        <f t="shared" si="25"/>
        <v>1194.1693173655344</v>
      </c>
      <c r="E218" s="633">
        <f t="shared" si="24"/>
        <v>45.59600453353687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602.43764858673171</v>
      </c>
      <c r="D219" s="633">
        <f t="shared" si="25"/>
        <v>576.13733050926339</v>
      </c>
      <c r="E219" s="633">
        <f t="shared" si="24"/>
        <v>-26.300318077468319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26.022198675618462</v>
      </c>
      <c r="D220" s="633">
        <f t="shared" si="25"/>
        <v>32.687088068639994</v>
      </c>
      <c r="E220" s="633">
        <f t="shared" si="24"/>
        <v>6.6648893930215323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1304.5019063092805</v>
      </c>
      <c r="D221" s="633">
        <f t="shared" si="25"/>
        <v>1638.5109732109336</v>
      </c>
      <c r="E221" s="633">
        <f t="shared" si="24"/>
        <v>334.00906690165311</v>
      </c>
    </row>
    <row r="222" spans="1:5" s="421" customFormat="1" x14ac:dyDescent="0.2">
      <c r="A222" s="588"/>
      <c r="B222" s="592" t="s">
        <v>828</v>
      </c>
      <c r="C222" s="634">
        <f>C216+C218+C219+C220</f>
        <v>6659.2905985520656</v>
      </c>
      <c r="D222" s="634">
        <f>D216+D218+D219+D220</f>
        <v>6598.0614095357741</v>
      </c>
      <c r="E222" s="634">
        <f t="shared" si="24"/>
        <v>-61.229189016291457</v>
      </c>
    </row>
    <row r="223" spans="1:5" s="421" customFormat="1" x14ac:dyDescent="0.2">
      <c r="A223" s="588"/>
      <c r="B223" s="592" t="s">
        <v>829</v>
      </c>
      <c r="C223" s="634">
        <f>C215+C222</f>
        <v>21126.506793856362</v>
      </c>
      <c r="D223" s="634">
        <f>D215+D222</f>
        <v>21332.416528356538</v>
      </c>
      <c r="E223" s="634">
        <f t="shared" si="24"/>
        <v>205.90973450017555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12986.68128183933</v>
      </c>
      <c r="D227" s="636">
        <f t="shared" si="26"/>
        <v>14158.724420335015</v>
      </c>
      <c r="E227" s="636">
        <f t="shared" ref="E227:E235" si="27">D227-C227</f>
        <v>1172.0431384956846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7650.9373937128603</v>
      </c>
      <c r="D228" s="636">
        <f t="shared" si="26"/>
        <v>7782.5396696477064</v>
      </c>
      <c r="E228" s="636">
        <f t="shared" si="27"/>
        <v>131.60227593484615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5877.7517423962918</v>
      </c>
      <c r="D229" s="636">
        <f t="shared" si="26"/>
        <v>6740.8538838388868</v>
      </c>
      <c r="E229" s="636">
        <f t="shared" si="27"/>
        <v>863.10214144259498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5376.3880744336775</v>
      </c>
      <c r="D230" s="636">
        <f t="shared" si="26"/>
        <v>5886.9869503956234</v>
      </c>
      <c r="E230" s="636">
        <f t="shared" si="27"/>
        <v>510.59887596194585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6410.9739575209114</v>
      </c>
      <c r="D231" s="636">
        <f t="shared" si="26"/>
        <v>7750.3403115465744</v>
      </c>
      <c r="E231" s="636">
        <f t="shared" si="27"/>
        <v>1339.366354025663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4475.5930833693119</v>
      </c>
      <c r="D232" s="636">
        <f t="shared" si="26"/>
        <v>4931.4674122543784</v>
      </c>
      <c r="E232" s="636">
        <f t="shared" si="27"/>
        <v>455.87432888506646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10450.127828210492</v>
      </c>
      <c r="D233" s="636">
        <f t="shared" si="26"/>
        <v>4462.2577159180237</v>
      </c>
      <c r="E233" s="636">
        <f t="shared" si="27"/>
        <v>-5987.8701122924685</v>
      </c>
    </row>
    <row r="234" spans="1:5" x14ac:dyDescent="0.2">
      <c r="A234" s="588"/>
      <c r="B234" s="592" t="s">
        <v>831</v>
      </c>
      <c r="C234" s="637">
        <f t="shared" si="26"/>
        <v>7449.5056800705579</v>
      </c>
      <c r="D234" s="637">
        <f t="shared" si="26"/>
        <v>7654.8055218842655</v>
      </c>
      <c r="E234" s="637">
        <f t="shared" si="27"/>
        <v>205.29984181370764</v>
      </c>
    </row>
    <row r="235" spans="1:5" s="421" customFormat="1" x14ac:dyDescent="0.2">
      <c r="A235" s="588"/>
      <c r="B235" s="592" t="s">
        <v>832</v>
      </c>
      <c r="C235" s="637">
        <f t="shared" si="26"/>
        <v>9966.0268892798467</v>
      </c>
      <c r="D235" s="637">
        <f t="shared" si="26"/>
        <v>10708.859235131553</v>
      </c>
      <c r="E235" s="637">
        <f t="shared" si="27"/>
        <v>742.83234585170612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10778.317534966525</v>
      </c>
      <c r="D239" s="636">
        <f t="shared" si="28"/>
        <v>10456.370214886645</v>
      </c>
      <c r="E239" s="638">
        <f t="shared" ref="E239:E247" si="29">D239-C239</f>
        <v>-321.94732007988023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7893.6738764382462</v>
      </c>
      <c r="D240" s="636">
        <f t="shared" si="28"/>
        <v>9270.7135802937464</v>
      </c>
      <c r="E240" s="638">
        <f t="shared" si="29"/>
        <v>1377.0397038555002</v>
      </c>
    </row>
    <row r="241" spans="1:5" x14ac:dyDescent="0.2">
      <c r="A241" s="588">
        <v>3</v>
      </c>
      <c r="B241" s="587" t="s">
        <v>780</v>
      </c>
      <c r="C241" s="636">
        <f t="shared" si="28"/>
        <v>4632.55866395471</v>
      </c>
      <c r="D241" s="636">
        <f t="shared" si="28"/>
        <v>4412.666590490302</v>
      </c>
      <c r="E241" s="638">
        <f t="shared" si="29"/>
        <v>-219.89207346440799</v>
      </c>
    </row>
    <row r="242" spans="1:5" x14ac:dyDescent="0.2">
      <c r="A242" s="588">
        <v>4</v>
      </c>
      <c r="B242" s="587" t="s">
        <v>115</v>
      </c>
      <c r="C242" s="636">
        <f t="shared" si="28"/>
        <v>4947.0625309845755</v>
      </c>
      <c r="D242" s="636">
        <f t="shared" si="28"/>
        <v>4709.7408367580992</v>
      </c>
      <c r="E242" s="638">
        <f t="shared" si="29"/>
        <v>-237.32169422647621</v>
      </c>
    </row>
    <row r="243" spans="1:5" x14ac:dyDescent="0.2">
      <c r="A243" s="588">
        <v>5</v>
      </c>
      <c r="B243" s="587" t="s">
        <v>746</v>
      </c>
      <c r="C243" s="636">
        <f t="shared" si="28"/>
        <v>4032.9435016215057</v>
      </c>
      <c r="D243" s="636">
        <f t="shared" si="28"/>
        <v>3796.9159159785213</v>
      </c>
      <c r="E243" s="638">
        <f t="shared" si="29"/>
        <v>-236.02758564298438</v>
      </c>
    </row>
    <row r="244" spans="1:5" x14ac:dyDescent="0.2">
      <c r="A244" s="588">
        <v>6</v>
      </c>
      <c r="B244" s="587" t="s">
        <v>424</v>
      </c>
      <c r="C244" s="636">
        <f t="shared" si="28"/>
        <v>6918.5545097188506</v>
      </c>
      <c r="D244" s="636">
        <f t="shared" si="28"/>
        <v>3862.7178944439183</v>
      </c>
      <c r="E244" s="638">
        <f t="shared" si="29"/>
        <v>-3055.8366152749322</v>
      </c>
    </row>
    <row r="245" spans="1:5" x14ac:dyDescent="0.2">
      <c r="A245" s="588">
        <v>7</v>
      </c>
      <c r="B245" s="587" t="s">
        <v>761</v>
      </c>
      <c r="C245" s="636">
        <f t="shared" si="28"/>
        <v>1319.3257837922686</v>
      </c>
      <c r="D245" s="636">
        <f t="shared" si="28"/>
        <v>1428.7783470941838</v>
      </c>
      <c r="E245" s="638">
        <f t="shared" si="29"/>
        <v>109.45256330191523</v>
      </c>
    </row>
    <row r="246" spans="1:5" ht="25.5" x14ac:dyDescent="0.2">
      <c r="A246" s="588"/>
      <c r="B246" s="592" t="s">
        <v>834</v>
      </c>
      <c r="C246" s="637">
        <f t="shared" si="28"/>
        <v>7032.3774442554623</v>
      </c>
      <c r="D246" s="637">
        <f t="shared" si="28"/>
        <v>7940.47368584376</v>
      </c>
      <c r="E246" s="639">
        <f t="shared" si="29"/>
        <v>908.09624158829774</v>
      </c>
    </row>
    <row r="247" spans="1:5" x14ac:dyDescent="0.2">
      <c r="A247" s="588"/>
      <c r="B247" s="592" t="s">
        <v>835</v>
      </c>
      <c r="C247" s="637">
        <f t="shared" si="28"/>
        <v>9597.5589802173981</v>
      </c>
      <c r="D247" s="637">
        <f t="shared" si="28"/>
        <v>9678.2099077035873</v>
      </c>
      <c r="E247" s="639">
        <f t="shared" si="29"/>
        <v>80.650927486189175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3384399.1546760723</v>
      </c>
      <c r="D251" s="622">
        <f>((IF((IF(D15=0,0,D26/D15)*D138)=0,0,D59/(IF(D15=0,0,D26/D15)*D138)))-(IF((IF(D17=0,0,D28/D17)*D140)=0,0,D61/(IF(D17=0,0,D28/D17)*D140))))*(IF(D17=0,0,D28/D17)*D140)</f>
        <v>5446573.7076707724</v>
      </c>
      <c r="E251" s="622">
        <f>D251-C251</f>
        <v>2062174.5529947001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2878163.3159012385</v>
      </c>
      <c r="D252" s="622">
        <f>IF(D231=0,0,(D228-D231)*D207)+IF(D243=0,0,(D240-D243)*D219)</f>
        <v>3168202.7985291546</v>
      </c>
      <c r="E252" s="622">
        <f>D252-C252</f>
        <v>290039.48262791615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7927913.6155484561</v>
      </c>
      <c r="D253" s="622">
        <f>IF(D233=0,0,(D228-D233)*D209+IF(D221=0,0,(D240-D245)*D221))</f>
        <v>13658878.238710327</v>
      </c>
      <c r="E253" s="622">
        <f>D253-C253</f>
        <v>5730964.623161871</v>
      </c>
    </row>
    <row r="254" spans="1:5" ht="15" customHeight="1" x14ac:dyDescent="0.2">
      <c r="A254" s="588"/>
      <c r="B254" s="592" t="s">
        <v>762</v>
      </c>
      <c r="C254" s="640">
        <f>+C251+C252+C253</f>
        <v>14190476.086125767</v>
      </c>
      <c r="D254" s="640">
        <f>+D251+D252+D253</f>
        <v>22273654.744910255</v>
      </c>
      <c r="E254" s="640">
        <f>D254-C254</f>
        <v>8083178.6587844882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1168376918</v>
      </c>
      <c r="D258" s="625">
        <f>+D44</f>
        <v>1181446541</v>
      </c>
      <c r="E258" s="622">
        <f t="shared" ref="E258:E271" si="30">D258-C258</f>
        <v>13069623</v>
      </c>
    </row>
    <row r="259" spans="1:5" x14ac:dyDescent="0.2">
      <c r="A259" s="588">
        <v>2</v>
      </c>
      <c r="B259" s="587" t="s">
        <v>745</v>
      </c>
      <c r="C259" s="622">
        <f>+(C43-C76)</f>
        <v>460741615</v>
      </c>
      <c r="D259" s="625">
        <f>+(D43-D76)</f>
        <v>456911049</v>
      </c>
      <c r="E259" s="622">
        <f t="shared" si="30"/>
        <v>-3830566</v>
      </c>
    </row>
    <row r="260" spans="1:5" x14ac:dyDescent="0.2">
      <c r="A260" s="588">
        <v>3</v>
      </c>
      <c r="B260" s="587" t="s">
        <v>749</v>
      </c>
      <c r="C260" s="622">
        <f>C195</f>
        <v>32867692</v>
      </c>
      <c r="D260" s="622">
        <f>D195</f>
        <v>41261801</v>
      </c>
      <c r="E260" s="622">
        <f t="shared" si="30"/>
        <v>8394109</v>
      </c>
    </row>
    <row r="261" spans="1:5" x14ac:dyDescent="0.2">
      <c r="A261" s="588">
        <v>4</v>
      </c>
      <c r="B261" s="587" t="s">
        <v>750</v>
      </c>
      <c r="C261" s="622">
        <f>C188</f>
        <v>318720339</v>
      </c>
      <c r="D261" s="622">
        <f>D188</f>
        <v>312344177</v>
      </c>
      <c r="E261" s="622">
        <f t="shared" si="30"/>
        <v>-6376162</v>
      </c>
    </row>
    <row r="262" spans="1:5" x14ac:dyDescent="0.2">
      <c r="A262" s="588">
        <v>5</v>
      </c>
      <c r="B262" s="587" t="s">
        <v>751</v>
      </c>
      <c r="C262" s="622">
        <f>C191</f>
        <v>9428381</v>
      </c>
      <c r="D262" s="622">
        <f>D191</f>
        <v>6843208</v>
      </c>
      <c r="E262" s="622">
        <f t="shared" si="30"/>
        <v>-2585173</v>
      </c>
    </row>
    <row r="263" spans="1:5" x14ac:dyDescent="0.2">
      <c r="A263" s="588">
        <v>6</v>
      </c>
      <c r="B263" s="587" t="s">
        <v>752</v>
      </c>
      <c r="C263" s="622">
        <f>+C259+C260+C261+C262</f>
        <v>821758027</v>
      </c>
      <c r="D263" s="622">
        <f>+D259+D260+D261+D262</f>
        <v>817360235</v>
      </c>
      <c r="E263" s="622">
        <f t="shared" si="30"/>
        <v>-4397792</v>
      </c>
    </row>
    <row r="264" spans="1:5" x14ac:dyDescent="0.2">
      <c r="A264" s="588">
        <v>7</v>
      </c>
      <c r="B264" s="587" t="s">
        <v>657</v>
      </c>
      <c r="C264" s="622">
        <f>+C258-C263</f>
        <v>346618891</v>
      </c>
      <c r="D264" s="622">
        <f>+D258-D263</f>
        <v>364086306</v>
      </c>
      <c r="E264" s="622">
        <f t="shared" si="30"/>
        <v>17467415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346618891</v>
      </c>
      <c r="D266" s="622">
        <f>+D264+D265</f>
        <v>364086306</v>
      </c>
      <c r="E266" s="641">
        <f t="shared" si="30"/>
        <v>17467415</v>
      </c>
    </row>
    <row r="267" spans="1:5" x14ac:dyDescent="0.2">
      <c r="A267" s="588">
        <v>10</v>
      </c>
      <c r="B267" s="587" t="s">
        <v>840</v>
      </c>
      <c r="C267" s="642">
        <f>IF(C258=0,0,C266/C258)</f>
        <v>0.29666701358097181</v>
      </c>
      <c r="D267" s="642">
        <f>IF(D258=0,0,D266/D258)</f>
        <v>0.30816993690787742</v>
      </c>
      <c r="E267" s="643">
        <f t="shared" si="30"/>
        <v>1.1502923326905612E-2</v>
      </c>
    </row>
    <row r="268" spans="1:5" x14ac:dyDescent="0.2">
      <c r="A268" s="588">
        <v>11</v>
      </c>
      <c r="B268" s="587" t="s">
        <v>719</v>
      </c>
      <c r="C268" s="622">
        <f>+C260*C267</f>
        <v>9750760.0289391987</v>
      </c>
      <c r="D268" s="644">
        <f>+D260*D267</f>
        <v>12715646.610875394</v>
      </c>
      <c r="E268" s="622">
        <f t="shared" si="30"/>
        <v>2964886.5819361955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10223680.131823</v>
      </c>
      <c r="D269" s="644">
        <f>((D17+D18+D28+D29)*D267)-(D50+D51+D61+D62)</f>
        <v>10683989.601306975</v>
      </c>
      <c r="E269" s="622">
        <f t="shared" si="30"/>
        <v>460309.46948397532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843</v>
      </c>
      <c r="C271" s="622">
        <f>+C268+C269+C270</f>
        <v>19974440.160762198</v>
      </c>
      <c r="D271" s="622">
        <f>+D268+D269+D270</f>
        <v>23399636.212182369</v>
      </c>
      <c r="E271" s="625">
        <f t="shared" si="30"/>
        <v>3425196.0514201708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0.43440130619884743</v>
      </c>
      <c r="D276" s="623">
        <f t="shared" si="31"/>
        <v>0.48940920861465903</v>
      </c>
      <c r="E276" s="650">
        <f t="shared" ref="E276:E284" si="32">D276-C276</f>
        <v>5.5007902415811605E-2</v>
      </c>
    </row>
    <row r="277" spans="1:5" x14ac:dyDescent="0.2">
      <c r="A277" s="588">
        <v>2</v>
      </c>
      <c r="B277" s="587" t="s">
        <v>638</v>
      </c>
      <c r="C277" s="623">
        <f t="shared" si="31"/>
        <v>0.23555351043813252</v>
      </c>
      <c r="D277" s="623">
        <f t="shared" si="31"/>
        <v>0.2420979383283674</v>
      </c>
      <c r="E277" s="650">
        <f t="shared" si="32"/>
        <v>6.5444278902348774E-3</v>
      </c>
    </row>
    <row r="278" spans="1:5" x14ac:dyDescent="0.2">
      <c r="A278" s="588">
        <v>3</v>
      </c>
      <c r="B278" s="587" t="s">
        <v>780</v>
      </c>
      <c r="C278" s="623">
        <f t="shared" si="31"/>
        <v>0.19760015589758775</v>
      </c>
      <c r="D278" s="623">
        <f t="shared" si="31"/>
        <v>0.23224692391473156</v>
      </c>
      <c r="E278" s="650">
        <f t="shared" si="32"/>
        <v>3.4646768017143809E-2</v>
      </c>
    </row>
    <row r="279" spans="1:5" x14ac:dyDescent="0.2">
      <c r="A279" s="588">
        <v>4</v>
      </c>
      <c r="B279" s="587" t="s">
        <v>115</v>
      </c>
      <c r="C279" s="623">
        <f t="shared" si="31"/>
        <v>0.17817987284908943</v>
      </c>
      <c r="D279" s="623">
        <f t="shared" si="31"/>
        <v>0.20564152887230064</v>
      </c>
      <c r="E279" s="650">
        <f t="shared" si="32"/>
        <v>2.7461656023211212E-2</v>
      </c>
    </row>
    <row r="280" spans="1:5" x14ac:dyDescent="0.2">
      <c r="A280" s="588">
        <v>5</v>
      </c>
      <c r="B280" s="587" t="s">
        <v>746</v>
      </c>
      <c r="C280" s="623">
        <f t="shared" si="31"/>
        <v>0.21887764029956142</v>
      </c>
      <c r="D280" s="623">
        <f t="shared" si="31"/>
        <v>0.26277707482964602</v>
      </c>
      <c r="E280" s="650">
        <f t="shared" si="32"/>
        <v>4.3899434530084602E-2</v>
      </c>
    </row>
    <row r="281" spans="1:5" x14ac:dyDescent="0.2">
      <c r="A281" s="588">
        <v>6</v>
      </c>
      <c r="B281" s="587" t="s">
        <v>424</v>
      </c>
      <c r="C281" s="623">
        <f t="shared" si="31"/>
        <v>0.14868147957459818</v>
      </c>
      <c r="D281" s="623">
        <f t="shared" si="31"/>
        <v>0.14488515201364771</v>
      </c>
      <c r="E281" s="650">
        <f t="shared" si="32"/>
        <v>-3.7963275609504687E-3</v>
      </c>
    </row>
    <row r="282" spans="1:5" x14ac:dyDescent="0.2">
      <c r="A282" s="588">
        <v>7</v>
      </c>
      <c r="B282" s="587" t="s">
        <v>761</v>
      </c>
      <c r="C282" s="623">
        <f t="shared" si="31"/>
        <v>0.55093180397632213</v>
      </c>
      <c r="D282" s="623">
        <f t="shared" si="31"/>
        <v>0.22941997251506158</v>
      </c>
      <c r="E282" s="650">
        <f t="shared" si="32"/>
        <v>-0.32151183146126056</v>
      </c>
    </row>
    <row r="283" spans="1:5" ht="29.25" customHeight="1" x14ac:dyDescent="0.2">
      <c r="A283" s="588"/>
      <c r="B283" s="592" t="s">
        <v>847</v>
      </c>
      <c r="C283" s="651">
        <f t="shared" si="31"/>
        <v>0.23153546623198967</v>
      </c>
      <c r="D283" s="651">
        <f t="shared" si="31"/>
        <v>0.24091522506521221</v>
      </c>
      <c r="E283" s="652">
        <f t="shared" si="32"/>
        <v>9.3797588332225346E-3</v>
      </c>
    </row>
    <row r="284" spans="1:5" x14ac:dyDescent="0.2">
      <c r="A284" s="588"/>
      <c r="B284" s="592" t="s">
        <v>848</v>
      </c>
      <c r="C284" s="651">
        <f t="shared" si="31"/>
        <v>0.3200526687053788</v>
      </c>
      <c r="D284" s="651">
        <f t="shared" si="31"/>
        <v>0.35181869245169545</v>
      </c>
      <c r="E284" s="652">
        <f t="shared" si="32"/>
        <v>3.1766023746316652E-2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0.39815801223104974</v>
      </c>
      <c r="D287" s="623">
        <f t="shared" si="33"/>
        <v>0.38646532141481932</v>
      </c>
      <c r="E287" s="650">
        <f t="shared" ref="E287:E295" si="34">D287-C287</f>
        <v>-1.1692690816230422E-2</v>
      </c>
    </row>
    <row r="288" spans="1:5" x14ac:dyDescent="0.2">
      <c r="A288" s="588">
        <v>2</v>
      </c>
      <c r="B288" s="587" t="s">
        <v>638</v>
      </c>
      <c r="C288" s="623">
        <f t="shared" si="33"/>
        <v>0.15508552288593819</v>
      </c>
      <c r="D288" s="623">
        <f t="shared" si="33"/>
        <v>0.17277971318140203</v>
      </c>
      <c r="E288" s="650">
        <f t="shared" si="34"/>
        <v>1.7694190295463846E-2</v>
      </c>
    </row>
    <row r="289" spans="1:5" x14ac:dyDescent="0.2">
      <c r="A289" s="588">
        <v>3</v>
      </c>
      <c r="B289" s="587" t="s">
        <v>780</v>
      </c>
      <c r="C289" s="623">
        <f t="shared" si="33"/>
        <v>0.15399632026057752</v>
      </c>
      <c r="D289" s="623">
        <f t="shared" si="33"/>
        <v>0.14747581818089484</v>
      </c>
      <c r="E289" s="650">
        <f t="shared" si="34"/>
        <v>-6.5205020796826885E-3</v>
      </c>
    </row>
    <row r="290" spans="1:5" x14ac:dyDescent="0.2">
      <c r="A290" s="588">
        <v>4</v>
      </c>
      <c r="B290" s="587" t="s">
        <v>115</v>
      </c>
      <c r="C290" s="623">
        <f t="shared" si="33"/>
        <v>0.1626599951437292</v>
      </c>
      <c r="D290" s="623">
        <f t="shared" si="33"/>
        <v>0.1586668731358844</v>
      </c>
      <c r="E290" s="650">
        <f t="shared" si="34"/>
        <v>-3.993122007844796E-3</v>
      </c>
    </row>
    <row r="291" spans="1:5" x14ac:dyDescent="0.2">
      <c r="A291" s="588">
        <v>5</v>
      </c>
      <c r="B291" s="587" t="s">
        <v>746</v>
      </c>
      <c r="C291" s="623">
        <f t="shared" si="33"/>
        <v>0.13693866407308034</v>
      </c>
      <c r="D291" s="623">
        <f t="shared" si="33"/>
        <v>0.12483787104190769</v>
      </c>
      <c r="E291" s="650">
        <f t="shared" si="34"/>
        <v>-1.2100793031172646E-2</v>
      </c>
    </row>
    <row r="292" spans="1:5" x14ac:dyDescent="0.2">
      <c r="A292" s="588">
        <v>6</v>
      </c>
      <c r="B292" s="587" t="s">
        <v>424</v>
      </c>
      <c r="C292" s="623">
        <f t="shared" si="33"/>
        <v>0.25443403985901519</v>
      </c>
      <c r="D292" s="623">
        <f t="shared" si="33"/>
        <v>0.16612589996210686</v>
      </c>
      <c r="E292" s="650">
        <f t="shared" si="34"/>
        <v>-8.8308139896908333E-2</v>
      </c>
    </row>
    <row r="293" spans="1:5" x14ac:dyDescent="0.2">
      <c r="A293" s="588">
        <v>7</v>
      </c>
      <c r="B293" s="587" t="s">
        <v>761</v>
      </c>
      <c r="C293" s="623">
        <f t="shared" si="33"/>
        <v>7.0271051779090932E-2</v>
      </c>
      <c r="D293" s="623">
        <f t="shared" si="33"/>
        <v>7.4094122398236734E-2</v>
      </c>
      <c r="E293" s="650">
        <f t="shared" si="34"/>
        <v>3.8230706191458019E-3</v>
      </c>
    </row>
    <row r="294" spans="1:5" ht="29.25" customHeight="1" x14ac:dyDescent="0.2">
      <c r="A294" s="588"/>
      <c r="B294" s="592" t="s">
        <v>850</v>
      </c>
      <c r="C294" s="651">
        <f t="shared" si="33"/>
        <v>0.15512833857681207</v>
      </c>
      <c r="D294" s="651">
        <f t="shared" si="33"/>
        <v>0.16845387833126421</v>
      </c>
      <c r="E294" s="652">
        <f t="shared" si="34"/>
        <v>1.3325539754452137E-2</v>
      </c>
    </row>
    <row r="295" spans="1:5" x14ac:dyDescent="0.2">
      <c r="A295" s="588"/>
      <c r="B295" s="592" t="s">
        <v>851</v>
      </c>
      <c r="C295" s="651">
        <f t="shared" si="33"/>
        <v>0.29236889647998338</v>
      </c>
      <c r="D295" s="651">
        <f t="shared" si="33"/>
        <v>0.29092163943154314</v>
      </c>
      <c r="E295" s="652">
        <f t="shared" si="34"/>
        <v>-1.4472570484402314E-3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354742975</v>
      </c>
      <c r="D301" s="590">
        <f>+D48+D47+D50+D51+D52+D59+D58+D61+D62+D63</f>
        <v>372437905</v>
      </c>
      <c r="E301" s="590">
        <f>D301-C301</f>
        <v>17694930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354742975</v>
      </c>
      <c r="D303" s="593">
        <f>+D301+D302</f>
        <v>372437905</v>
      </c>
      <c r="E303" s="593">
        <f>D303-C303</f>
        <v>17694930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-14005763</v>
      </c>
      <c r="D305" s="654">
        <v>-19131678</v>
      </c>
      <c r="E305" s="655">
        <f>D305-C305</f>
        <v>-5125915</v>
      </c>
    </row>
    <row r="306" spans="1:5" x14ac:dyDescent="0.2">
      <c r="A306" s="588">
        <v>4</v>
      </c>
      <c r="B306" s="592" t="s">
        <v>858</v>
      </c>
      <c r="C306" s="593">
        <f>+C303+C305+C194+C190-C191</f>
        <v>362759437</v>
      </c>
      <c r="D306" s="593">
        <f>+D303+D305</f>
        <v>353306227</v>
      </c>
      <c r="E306" s="656">
        <f>D306-C306</f>
        <v>-9453210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340737210</v>
      </c>
      <c r="D308" s="589">
        <v>353306227</v>
      </c>
      <c r="E308" s="590">
        <f>D308-C308</f>
        <v>12569017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22022227</v>
      </c>
      <c r="D310" s="658">
        <f>D306-D308</f>
        <v>0</v>
      </c>
      <c r="E310" s="656">
        <f>D310-C310</f>
        <v>-22022227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1168376918</v>
      </c>
      <c r="D314" s="590">
        <f>+D14+D15+D16+D19+D25+D26+D27+D30</f>
        <v>1181446541</v>
      </c>
      <c r="E314" s="590">
        <f>D314-C314</f>
        <v>13069623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1168376918</v>
      </c>
      <c r="D316" s="657">
        <f>D314+D315</f>
        <v>1181446541</v>
      </c>
      <c r="E316" s="593">
        <f>D316-C316</f>
        <v>13069623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1168376920</v>
      </c>
      <c r="D318" s="589">
        <v>1181446542</v>
      </c>
      <c r="E318" s="590">
        <f>D318-C318</f>
        <v>13069622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-2</v>
      </c>
      <c r="D320" s="657">
        <f>D316-D318</f>
        <v>-1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32867692</v>
      </c>
      <c r="D324" s="589">
        <f>+D193+D194</f>
        <v>41261801</v>
      </c>
      <c r="E324" s="590">
        <f>D324-C324</f>
        <v>8394109</v>
      </c>
    </row>
    <row r="325" spans="1:5" x14ac:dyDescent="0.2">
      <c r="A325" s="588">
        <v>2</v>
      </c>
      <c r="B325" s="587" t="s">
        <v>868</v>
      </c>
      <c r="C325" s="589">
        <v>33353</v>
      </c>
      <c r="D325" s="589">
        <v>3978</v>
      </c>
      <c r="E325" s="590">
        <f>D325-C325</f>
        <v>-29375</v>
      </c>
    </row>
    <row r="326" spans="1:5" x14ac:dyDescent="0.2">
      <c r="A326" s="588"/>
      <c r="B326" s="592" t="s">
        <v>869</v>
      </c>
      <c r="C326" s="657">
        <f>C324+C325</f>
        <v>32901045</v>
      </c>
      <c r="D326" s="657">
        <f>D324+D325</f>
        <v>41265779</v>
      </c>
      <c r="E326" s="593">
        <f>D326-C326</f>
        <v>8364734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32901045</v>
      </c>
      <c r="D328" s="589">
        <v>41265779</v>
      </c>
      <c r="E328" s="590">
        <f>D328-C328</f>
        <v>8364734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FILING&amp;RGREENWICH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210553104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232331615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28608521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15286849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13321672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279021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4743689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261219157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471772261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398658983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257285408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52969857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35446769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17523088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760032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31595880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311015297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709674280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609212087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572234454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1181446541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103046628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56247005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6644241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3143611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3500630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40426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1088297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62931672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165978300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154067872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44453699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7811773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5624228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2187545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126261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2341069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52391733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206459605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257114500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115323405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372437905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7782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4330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953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515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438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246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5295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13077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0.93523000000000001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1.66913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1.0342786568730327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1.03688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1.03122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0.68313000000000001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0.99141999999999997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1.5526341869688389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1.1852227483367748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558998809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246654632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312344177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0.55875642661700198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13873710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6843208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25342402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15919399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41261801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21109490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342552775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372437905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372437905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-19131678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353306227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353306227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1181446541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1181446541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1181446542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41261801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3978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41265779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41265779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FILING&amp;RGREENWICH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885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3953</v>
      </c>
      <c r="D12" s="185">
        <v>4296</v>
      </c>
      <c r="E12" s="185">
        <f>+D12-C12</f>
        <v>343</v>
      </c>
      <c r="F12" s="77">
        <f>IF(C12=0,0,+E12/C12)</f>
        <v>8.6769542119908935E-2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3953</v>
      </c>
      <c r="D13" s="185">
        <v>4296</v>
      </c>
      <c r="E13" s="185">
        <f>+D13-C13</f>
        <v>343</v>
      </c>
      <c r="F13" s="77">
        <f>IF(C13=0,0,+E13/C13)</f>
        <v>8.6769542119908935E-2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20529798</v>
      </c>
      <c r="D15" s="76">
        <v>25342402</v>
      </c>
      <c r="E15" s="76">
        <f>+D15-C15</f>
        <v>4812604</v>
      </c>
      <c r="F15" s="77">
        <f>IF(C15=0,0,+E15/C15)</f>
        <v>0.23442042634808194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5193.4728054642046</v>
      </c>
      <c r="D16" s="79">
        <f>IF(D13=0,0,+D15/+D13)</f>
        <v>5899.0693668528866</v>
      </c>
      <c r="E16" s="79">
        <f>+D16-C16</f>
        <v>705.59656138868195</v>
      </c>
      <c r="F16" s="80">
        <f>IF(C16=0,0,+E16/C16)</f>
        <v>0.13586218467271133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0.27193099999999998</v>
      </c>
      <c r="D18" s="704">
        <v>0.27607500000000001</v>
      </c>
      <c r="E18" s="704">
        <f>+D18-C18</f>
        <v>4.1440000000000365E-3</v>
      </c>
      <c r="F18" s="77">
        <f>IF(C18=0,0,+E18/C18)</f>
        <v>1.523915993395397E-2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5582688.499938</v>
      </c>
      <c r="D19" s="79">
        <f>+D15*D18</f>
        <v>6996403.63215</v>
      </c>
      <c r="E19" s="79">
        <f>+D19-C19</f>
        <v>1413715.132212</v>
      </c>
      <c r="F19" s="80">
        <f>IF(C19=0,0,+E19/C19)</f>
        <v>0.25323195665093984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1412.2662534626866</v>
      </c>
      <c r="D20" s="79">
        <f>IF(D13=0,0,+D19/D13)</f>
        <v>1628.5855754539107</v>
      </c>
      <c r="E20" s="79">
        <f>+D20-C20</f>
        <v>216.31932199122411</v>
      </c>
      <c r="F20" s="80">
        <f>IF(C20=0,0,+E20/C20)</f>
        <v>0.15317177016786904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4018796</v>
      </c>
      <c r="D22" s="76">
        <v>7817627</v>
      </c>
      <c r="E22" s="76">
        <f>+D22-C22</f>
        <v>3798831</v>
      </c>
      <c r="F22" s="77">
        <f>IF(C22=0,0,+E22/C22)</f>
        <v>0.94526594532292751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9407050</v>
      </c>
      <c r="D23" s="185">
        <v>10368184</v>
      </c>
      <c r="E23" s="185">
        <f>+D23-C23</f>
        <v>961134</v>
      </c>
      <c r="F23" s="77">
        <f>IF(C23=0,0,+E23/C23)</f>
        <v>0.10217166912050005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7103952</v>
      </c>
      <c r="D24" s="185">
        <v>7156591</v>
      </c>
      <c r="E24" s="185">
        <f>+D24-C24</f>
        <v>52639</v>
      </c>
      <c r="F24" s="77">
        <f>IF(C24=0,0,+E24/C24)</f>
        <v>7.4098192104901607E-3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20529798</v>
      </c>
      <c r="D25" s="79">
        <f>+D22+D23+D24</f>
        <v>25342402</v>
      </c>
      <c r="E25" s="79">
        <f>+E22+E23+E24</f>
        <v>4812604</v>
      </c>
      <c r="F25" s="80">
        <f>IF(C25=0,0,+E25/C25)</f>
        <v>0.23442042634808194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1076</v>
      </c>
      <c r="D27" s="185">
        <v>2583</v>
      </c>
      <c r="E27" s="185">
        <f>+D27-C27</f>
        <v>1507</v>
      </c>
      <c r="F27" s="77">
        <f>IF(C27=0,0,+E27/C27)</f>
        <v>1.4005576208178439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376</v>
      </c>
      <c r="D28" s="185">
        <v>299</v>
      </c>
      <c r="E28" s="185">
        <f>+D28-C28</f>
        <v>-77</v>
      </c>
      <c r="F28" s="77">
        <f>IF(C28=0,0,+E28/C28)</f>
        <v>-0.2047872340425532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3452</v>
      </c>
      <c r="D29" s="185">
        <v>3965</v>
      </c>
      <c r="E29" s="185">
        <f>+D29-C29</f>
        <v>513</v>
      </c>
      <c r="F29" s="77">
        <f>IF(C29=0,0,+E29/C29)</f>
        <v>0.14860950173812282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10056</v>
      </c>
      <c r="D30" s="185">
        <v>6789</v>
      </c>
      <c r="E30" s="185">
        <f>+D30-C30</f>
        <v>-3267</v>
      </c>
      <c r="F30" s="77">
        <f>IF(C30=0,0,+E30/C30)</f>
        <v>-0.32488066825775658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3903217</v>
      </c>
      <c r="D33" s="76">
        <v>5471717</v>
      </c>
      <c r="E33" s="76">
        <f>+D33-C33</f>
        <v>1568500</v>
      </c>
      <c r="F33" s="77">
        <f>IF(C33=0,0,+E33/C33)</f>
        <v>0.40184801408684168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5279396</v>
      </c>
      <c r="D34" s="185">
        <v>6106890</v>
      </c>
      <c r="E34" s="185">
        <f>+D34-C34</f>
        <v>827494</v>
      </c>
      <c r="F34" s="77">
        <f>IF(C34=0,0,+E34/C34)</f>
        <v>0.15674027862278184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3155281</v>
      </c>
      <c r="D35" s="185">
        <v>4340792</v>
      </c>
      <c r="E35" s="185">
        <f>+D35-C35</f>
        <v>1185511</v>
      </c>
      <c r="F35" s="77">
        <f>IF(C35=0,0,+E35/C35)</f>
        <v>0.37572279616300419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12337894</v>
      </c>
      <c r="D36" s="79">
        <f>+D33+D34+D35</f>
        <v>15919399</v>
      </c>
      <c r="E36" s="79">
        <f>+E33+E34+E35</f>
        <v>3581505</v>
      </c>
      <c r="F36" s="80">
        <f>IF(C36=0,0,+E36/C36)</f>
        <v>0.29028495462839932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20529798</v>
      </c>
      <c r="D39" s="76">
        <f>+D25</f>
        <v>25342402</v>
      </c>
      <c r="E39" s="76">
        <f>+D39-C39</f>
        <v>4812604</v>
      </c>
      <c r="F39" s="77">
        <f>IF(C39=0,0,+E39/C39)</f>
        <v>0.23442042634808194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12337894</v>
      </c>
      <c r="D40" s="185">
        <f>+D36</f>
        <v>15919399</v>
      </c>
      <c r="E40" s="185">
        <f>+D40-C40</f>
        <v>3581505</v>
      </c>
      <c r="F40" s="77">
        <f>IF(C40=0,0,+E40/C40)</f>
        <v>0.29028495462839932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32867692</v>
      </c>
      <c r="D41" s="79">
        <f>+D39+D40</f>
        <v>41261801</v>
      </c>
      <c r="E41" s="79">
        <f>+E39+E40</f>
        <v>8394109</v>
      </c>
      <c r="F41" s="80">
        <f>IF(C41=0,0,+E41/C41)</f>
        <v>0.25539088658856851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7922013</v>
      </c>
      <c r="D43" s="76">
        <f t="shared" si="0"/>
        <v>13289344</v>
      </c>
      <c r="E43" s="76">
        <f>+D43-C43</f>
        <v>5367331</v>
      </c>
      <c r="F43" s="77">
        <f>IF(C43=0,0,+E43/C43)</f>
        <v>0.67752110480000471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14686446</v>
      </c>
      <c r="D44" s="185">
        <f t="shared" si="0"/>
        <v>16475074</v>
      </c>
      <c r="E44" s="185">
        <f>+D44-C44</f>
        <v>1788628</v>
      </c>
      <c r="F44" s="77">
        <f>IF(C44=0,0,+E44/C44)</f>
        <v>0.12178766734988165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10259233</v>
      </c>
      <c r="D45" s="185">
        <f t="shared" si="0"/>
        <v>11497383</v>
      </c>
      <c r="E45" s="185">
        <f>+D45-C45</f>
        <v>1238150</v>
      </c>
      <c r="F45" s="77">
        <f>IF(C45=0,0,+E45/C45)</f>
        <v>0.12068640998795914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32867692</v>
      </c>
      <c r="D46" s="79">
        <f>+D43+D44+D45</f>
        <v>41261801</v>
      </c>
      <c r="E46" s="79">
        <f>+E43+E44+E45</f>
        <v>8394109</v>
      </c>
      <c r="F46" s="80">
        <f>IF(C46=0,0,+E46/C46)</f>
        <v>0.25539088658856851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914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FILING&amp;RGREENWICH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915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916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550833535</v>
      </c>
      <c r="D15" s="76">
        <v>558998809</v>
      </c>
      <c r="E15" s="76">
        <f>+D15-C15</f>
        <v>8165274</v>
      </c>
      <c r="F15" s="77">
        <f>IF(C15=0,0,E15/C15)</f>
        <v>1.4823487462505346E-2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318720339</v>
      </c>
      <c r="D17" s="76">
        <v>312344177</v>
      </c>
      <c r="E17" s="76">
        <f>+D17-C17</f>
        <v>-6376162</v>
      </c>
      <c r="F17" s="77">
        <f>IF(C17=0,0,E17/C17)</f>
        <v>-2.0005507085005956E-2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232113196</v>
      </c>
      <c r="D19" s="79">
        <f>+D15-D17</f>
        <v>246654632</v>
      </c>
      <c r="E19" s="79">
        <f>+D19-C19</f>
        <v>14541436</v>
      </c>
      <c r="F19" s="80">
        <f>IF(C19=0,0,E19/C19)</f>
        <v>6.2648036607104413E-2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0.57861462447089396</v>
      </c>
      <c r="D21" s="720">
        <f>IF(D15=0,0,D17/D15)</f>
        <v>0.55875642661700198</v>
      </c>
      <c r="E21" s="720">
        <f>+D21-C21</f>
        <v>-1.9858197853891979E-2</v>
      </c>
      <c r="F21" s="80">
        <f>IF(C21=0,0,E21/C21)</f>
        <v>-3.4320248770156873E-2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FILING&amp;R&amp;12GREENWICH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469569283</v>
      </c>
      <c r="D10" s="744">
        <v>474859593</v>
      </c>
      <c r="E10" s="744">
        <v>471772261</v>
      </c>
    </row>
    <row r="11" spans="1:6" ht="26.1" customHeight="1" x14ac:dyDescent="0.25">
      <c r="A11" s="742">
        <v>2</v>
      </c>
      <c r="B11" s="743" t="s">
        <v>935</v>
      </c>
      <c r="C11" s="744">
        <v>680279340</v>
      </c>
      <c r="D11" s="744">
        <v>693517325</v>
      </c>
      <c r="E11" s="744">
        <v>709674280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1149848623</v>
      </c>
      <c r="D12" s="744">
        <f>+D11+D10</f>
        <v>1168376918</v>
      </c>
      <c r="E12" s="744">
        <f>+E11+E10</f>
        <v>1181446541</v>
      </c>
    </row>
    <row r="13" spans="1:6" ht="26.1" customHeight="1" x14ac:dyDescent="0.25">
      <c r="A13" s="742">
        <v>4</v>
      </c>
      <c r="B13" s="743" t="s">
        <v>507</v>
      </c>
      <c r="C13" s="744">
        <v>332207000</v>
      </c>
      <c r="D13" s="744">
        <v>340737210</v>
      </c>
      <c r="E13" s="744">
        <v>353306227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317854000</v>
      </c>
      <c r="D16" s="744">
        <v>328168956</v>
      </c>
      <c r="E16" s="744">
        <v>342552775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54509</v>
      </c>
      <c r="D19" s="747">
        <v>53840</v>
      </c>
      <c r="E19" s="747">
        <v>54827</v>
      </c>
    </row>
    <row r="20" spans="1:5" ht="26.1" customHeight="1" x14ac:dyDescent="0.25">
      <c r="A20" s="742">
        <v>2</v>
      </c>
      <c r="B20" s="743" t="s">
        <v>381</v>
      </c>
      <c r="C20" s="748">
        <v>12538</v>
      </c>
      <c r="D20" s="748">
        <v>13296</v>
      </c>
      <c r="E20" s="748">
        <v>13077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4.3475035890891691</v>
      </c>
      <c r="D21" s="749">
        <f>IF(D20=0,0,+D19/D20)</f>
        <v>4.0493381468110714</v>
      </c>
      <c r="E21" s="749">
        <f>IF(E20=0,0,+E19/E20)</f>
        <v>4.1926282786571845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133477.85057547514</v>
      </c>
      <c r="D22" s="748">
        <f>IF(D10=0,0,D19*(D12/D10))</f>
        <v>132471.60674949238</v>
      </c>
      <c r="E22" s="748">
        <f>IF(E10=0,0,E19*(E12/E10))</f>
        <v>137301.77642514466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30702.182951720031</v>
      </c>
      <c r="D23" s="748">
        <f>IF(D10=0,0,D20*(D12/D10))</f>
        <v>32714.384906041058</v>
      </c>
      <c r="E23" s="748">
        <f>IF(E10=0,0,E20*(E12/E10))</f>
        <v>32748.378177022576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1.1595277165417133</v>
      </c>
      <c r="D26" s="750">
        <v>1.146947681257521</v>
      </c>
      <c r="E26" s="750">
        <v>1.1852227483367745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63204.696300972246</v>
      </c>
      <c r="D27" s="748">
        <f>D19*D26</f>
        <v>61751.663158904928</v>
      </c>
      <c r="E27" s="748">
        <f>E19*E26</f>
        <v>64982.207623060342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14538.158510000001</v>
      </c>
      <c r="D28" s="748">
        <f>D20*D26</f>
        <v>15249.816369999999</v>
      </c>
      <c r="E28" s="748">
        <f>E20*E26</f>
        <v>15499.157880000001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154771.26728667671</v>
      </c>
      <c r="D29" s="748">
        <f>D22*D26</f>
        <v>151938.00219378844</v>
      </c>
      <c r="E29" s="748">
        <f>E22*E26</f>
        <v>162733.18880613131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35600.032090853849</v>
      </c>
      <c r="D30" s="748">
        <f>D23*D26</f>
        <v>37521.687911749832</v>
      </c>
      <c r="E30" s="748">
        <f>E23*E26</f>
        <v>38814.12278654275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21094.65635032747</v>
      </c>
      <c r="D33" s="744">
        <f>IF(D19=0,0,D12/D19)</f>
        <v>21700.908580980682</v>
      </c>
      <c r="E33" s="744">
        <f>IF(E19=0,0,E12/E19)</f>
        <v>21548.626424936618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91709.094193651297</v>
      </c>
      <c r="D34" s="744">
        <f>IF(D20=0,0,D12/D20)</f>
        <v>87874.316937424795</v>
      </c>
      <c r="E34" s="744">
        <f>IF(E20=0,0,E12/E20)</f>
        <v>90345.380515408731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8614.5275642554443</v>
      </c>
      <c r="D35" s="744">
        <f>IF(D22=0,0,D12/D22)</f>
        <v>8819.8289933135202</v>
      </c>
      <c r="E35" s="744">
        <f>IF(E22=0,0,E12/E22)</f>
        <v>8604.7433016579434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37451.689503908121</v>
      </c>
      <c r="D36" s="744">
        <f>IF(D23=0,0,D12/D23)</f>
        <v>35714.469990974729</v>
      </c>
      <c r="E36" s="744">
        <f>IF(E23=0,0,E12/E23)</f>
        <v>36076.490097117079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7429.3416546766448</v>
      </c>
      <c r="D37" s="744">
        <f>IF(D29=0,0,D12/D29)</f>
        <v>7689.8267788844587</v>
      </c>
      <c r="E37" s="744">
        <f>IF(E29=0,0,E12/E29)</f>
        <v>7260.0220622941952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32299.089508276382</v>
      </c>
      <c r="D38" s="744">
        <f>IF(D30=0,0,D12/D30)</f>
        <v>31138.708918106146</v>
      </c>
      <c r="E38" s="744">
        <f>IF(E30=0,0,E12/E30)</f>
        <v>30438.57380204969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3517.9565821258243</v>
      </c>
      <c r="D39" s="744">
        <f>IF(D22=0,0,D10/D22)</f>
        <v>3584.6141271463034</v>
      </c>
      <c r="E39" s="744">
        <f>IF(E22=0,0,E10/E22)</f>
        <v>3436.0244512728846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15294.328867051887</v>
      </c>
      <c r="D40" s="744">
        <f>IF(D23=0,0,D10/D23)</f>
        <v>14515.314726651399</v>
      </c>
      <c r="E40" s="744">
        <f>IF(E23=0,0,E10/E23)</f>
        <v>14405.973280564231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6094.5348474563834</v>
      </c>
      <c r="D43" s="744">
        <f>IF(D19=0,0,D13/D19)</f>
        <v>6328.7000371471022</v>
      </c>
      <c r="E43" s="744">
        <f>IF(E19=0,0,E13/E19)</f>
        <v>6444.0189505170811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26496.012123145636</v>
      </c>
      <c r="D44" s="744">
        <f>IF(D20=0,0,D13/D20)</f>
        <v>25627.046480144403</v>
      </c>
      <c r="E44" s="744">
        <f>IF(E20=0,0,E13/E20)</f>
        <v>27017.376080140704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2488.8548816730708</v>
      </c>
      <c r="D45" s="744">
        <f>IF(D22=0,0,D13/D22)</f>
        <v>2572.1527681350153</v>
      </c>
      <c r="E45" s="744">
        <f>IF(E22=0,0,E13/E22)</f>
        <v>2573.2094383543426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10820.305530795775</v>
      </c>
      <c r="D46" s="744">
        <f>IF(D23=0,0,D13/D23)</f>
        <v>10415.516323434809</v>
      </c>
      <c r="E46" s="744">
        <f>IF(E23=0,0,E13/E23)</f>
        <v>10788.510658151987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2146.438456077678</v>
      </c>
      <c r="D47" s="744">
        <f>IF(D29=0,0,D13/D29)</f>
        <v>2242.6068862311927</v>
      </c>
      <c r="E47" s="744">
        <f>IF(E29=0,0,E13/E29)</f>
        <v>2171.0766537052486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9331.6488915567206</v>
      </c>
      <c r="D48" s="744">
        <f>IF(D30=0,0,D13/D30)</f>
        <v>9081.073612717164</v>
      </c>
      <c r="E48" s="744">
        <f>IF(E30=0,0,E13/E30)</f>
        <v>9102.5173734570362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5831.2205323891467</v>
      </c>
      <c r="D51" s="744">
        <f>IF(D19=0,0,D16/D19)</f>
        <v>6095.2629271916794</v>
      </c>
      <c r="E51" s="744">
        <f>IF(E19=0,0,E16/E19)</f>
        <v>6247.8847100880948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25351.252193332271</v>
      </c>
      <c r="D52" s="744">
        <f>IF(D20=0,0,D16/D20)</f>
        <v>24681.780685920578</v>
      </c>
      <c r="E52" s="744">
        <f>IF(E20=0,0,E16/E20)</f>
        <v>26195.058117305191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2381.3239322449926</v>
      </c>
      <c r="D53" s="744">
        <f>IF(D22=0,0,D16/D22)</f>
        <v>2477.2776903097201</v>
      </c>
      <c r="E53" s="744">
        <f>IF(E22=0,0,E16/E22)</f>
        <v>2494.889606812595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10352.814342219039</v>
      </c>
      <c r="D54" s="744">
        <f>IF(D23=0,0,D16/D23)</f>
        <v>10031.335051615173</v>
      </c>
      <c r="E54" s="744">
        <f>IF(E23=0,0,E16/E23)</f>
        <v>10460.14471765039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2053.7016047768839</v>
      </c>
      <c r="D55" s="744">
        <f>IF(D29=0,0,D16/D29)</f>
        <v>2159.8872649479677</v>
      </c>
      <c r="E55" s="744">
        <f>IF(E29=0,0,E16/E29)</f>
        <v>2104.9963901837682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8928.4750976856903</v>
      </c>
      <c r="D56" s="744">
        <f>IF(D30=0,0,D16/D30)</f>
        <v>8746.1138947652362</v>
      </c>
      <c r="E56" s="744">
        <f>IF(E30=0,0,E16/E30)</f>
        <v>8825.4673919557572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39440686</v>
      </c>
      <c r="D59" s="752">
        <v>33844899</v>
      </c>
      <c r="E59" s="752">
        <v>37843295</v>
      </c>
    </row>
    <row r="60" spans="1:6" ht="26.1" customHeight="1" x14ac:dyDescent="0.25">
      <c r="A60" s="742">
        <v>2</v>
      </c>
      <c r="B60" s="743" t="s">
        <v>971</v>
      </c>
      <c r="C60" s="752">
        <v>12951118</v>
      </c>
      <c r="D60" s="752">
        <v>10584076</v>
      </c>
      <c r="E60" s="752">
        <v>9365981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52391804</v>
      </c>
      <c r="D61" s="755">
        <f>D59+D60</f>
        <v>44428975</v>
      </c>
      <c r="E61" s="755">
        <f>E59+E60</f>
        <v>47209276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8035783</v>
      </c>
      <c r="D64" s="744">
        <v>9115648</v>
      </c>
      <c r="E64" s="752">
        <v>10099530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2220192</v>
      </c>
      <c r="D65" s="752">
        <v>2850672</v>
      </c>
      <c r="E65" s="752">
        <v>2499571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10255975</v>
      </c>
      <c r="D66" s="757">
        <f>D64+D65</f>
        <v>11966320</v>
      </c>
      <c r="E66" s="757">
        <f>E64+E65</f>
        <v>12599101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65742531</v>
      </c>
      <c r="D69" s="752">
        <v>73765140</v>
      </c>
      <c r="E69" s="752">
        <v>71036464</v>
      </c>
    </row>
    <row r="70" spans="1:6" ht="26.1" customHeight="1" x14ac:dyDescent="0.25">
      <c r="A70" s="742">
        <v>2</v>
      </c>
      <c r="B70" s="743" t="s">
        <v>979</v>
      </c>
      <c r="C70" s="752">
        <v>21831690</v>
      </c>
      <c r="D70" s="752">
        <v>23068051</v>
      </c>
      <c r="E70" s="752">
        <v>17581086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87574221</v>
      </c>
      <c r="D71" s="755">
        <f>D69+D70</f>
        <v>96833191</v>
      </c>
      <c r="E71" s="755">
        <f>E69+E70</f>
        <v>88617550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113219000</v>
      </c>
      <c r="D75" s="744">
        <f t="shared" si="0"/>
        <v>116725687</v>
      </c>
      <c r="E75" s="744">
        <f t="shared" si="0"/>
        <v>118979289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37003000</v>
      </c>
      <c r="D76" s="744">
        <f t="shared" si="0"/>
        <v>36502799</v>
      </c>
      <c r="E76" s="744">
        <f t="shared" si="0"/>
        <v>29446638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150222000</v>
      </c>
      <c r="D77" s="757">
        <f>D75+D76</f>
        <v>153228486</v>
      </c>
      <c r="E77" s="757">
        <f>E75+E76</f>
        <v>148425927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359.3</v>
      </c>
      <c r="D80" s="749">
        <v>389</v>
      </c>
      <c r="E80" s="749">
        <v>465.1</v>
      </c>
    </row>
    <row r="81" spans="1:5" ht="26.1" customHeight="1" x14ac:dyDescent="0.25">
      <c r="A81" s="742">
        <v>2</v>
      </c>
      <c r="B81" s="743" t="s">
        <v>617</v>
      </c>
      <c r="C81" s="749">
        <v>43.5</v>
      </c>
      <c r="D81" s="749">
        <v>47.8</v>
      </c>
      <c r="E81" s="749">
        <v>45.8</v>
      </c>
    </row>
    <row r="82" spans="1:5" ht="26.1" customHeight="1" x14ac:dyDescent="0.25">
      <c r="A82" s="742">
        <v>3</v>
      </c>
      <c r="B82" s="743" t="s">
        <v>985</v>
      </c>
      <c r="C82" s="749">
        <v>1072.5</v>
      </c>
      <c r="D82" s="749">
        <v>1038.9000000000001</v>
      </c>
      <c r="E82" s="749">
        <v>1009.3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1475.3</v>
      </c>
      <c r="D83" s="759">
        <f>D80+D81+D82</f>
        <v>1475.7</v>
      </c>
      <c r="E83" s="759">
        <f>E80+E81+E82</f>
        <v>1520.2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109770.90453659894</v>
      </c>
      <c r="D86" s="752">
        <f>IF(D80=0,0,D59/D80)</f>
        <v>87004.881748071974</v>
      </c>
      <c r="E86" s="752">
        <f>IF(E80=0,0,E59/E80)</f>
        <v>81365.93205762202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36045.41608683551</v>
      </c>
      <c r="D87" s="752">
        <f>IF(D80=0,0,D60/D80)</f>
        <v>27208.421593830335</v>
      </c>
      <c r="E87" s="752">
        <f>IF(E80=0,0,E60/E80)</f>
        <v>20137.563964738765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145816.32062343444</v>
      </c>
      <c r="D88" s="755">
        <f>+D86+D87</f>
        <v>114213.30334190231</v>
      </c>
      <c r="E88" s="755">
        <f>+E86+E87</f>
        <v>101503.49602236078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184730.64367816091</v>
      </c>
      <c r="D91" s="744">
        <f>IF(D81=0,0,D64/D81)</f>
        <v>190703.9330543933</v>
      </c>
      <c r="E91" s="744">
        <f>IF(E81=0,0,E64/E81)</f>
        <v>220513.75545851531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51038.896551724138</v>
      </c>
      <c r="D92" s="744">
        <f>IF(D81=0,0,D65/D81)</f>
        <v>59637.48953974896</v>
      </c>
      <c r="E92" s="744">
        <f>IF(E81=0,0,E65/E81)</f>
        <v>54575.786026200876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235769.54022988505</v>
      </c>
      <c r="D93" s="757">
        <f>+D91+D92</f>
        <v>250341.42259414226</v>
      </c>
      <c r="E93" s="757">
        <f>+E91+E92</f>
        <v>275089.54148471617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61298.397202797205</v>
      </c>
      <c r="D96" s="752">
        <f>IF(D82=0,0,D69/D82)</f>
        <v>71003.118683222638</v>
      </c>
      <c r="E96" s="752">
        <f>IF(E82=0,0,E69/E82)</f>
        <v>70381.912216387602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20355.888111888111</v>
      </c>
      <c r="D97" s="752">
        <f>IF(D82=0,0,D70/D82)</f>
        <v>22204.30359033593</v>
      </c>
      <c r="E97" s="752">
        <f>IF(E82=0,0,E70/E82)</f>
        <v>17419.08847716239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81654.285314685316</v>
      </c>
      <c r="D98" s="757">
        <f>+D96+D97</f>
        <v>93207.422273558564</v>
      </c>
      <c r="E98" s="757">
        <f>+E96+E97</f>
        <v>87801.000693549984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76743.035314851222</v>
      </c>
      <c r="D101" s="744">
        <f>IF(D83=0,0,D75/D83)</f>
        <v>79098.520702039707</v>
      </c>
      <c r="E101" s="744">
        <f>IF(E83=0,0,E75/E83)</f>
        <v>78265.549927641099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25081.678302718094</v>
      </c>
      <c r="D102" s="761">
        <f>IF(D83=0,0,D76/D83)</f>
        <v>24735.921257708207</v>
      </c>
      <c r="E102" s="761">
        <f>IF(E83=0,0,E76/E83)</f>
        <v>19370.239442178659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101824.71361756932</v>
      </c>
      <c r="D103" s="757">
        <f>+D101+D102</f>
        <v>103834.44195974791</v>
      </c>
      <c r="E103" s="757">
        <f>+E101+E102</f>
        <v>97635.789369819759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2755.9118677649562</v>
      </c>
      <c r="D108" s="744">
        <f>IF(D19=0,0,D77/D19)</f>
        <v>2845.9971396731057</v>
      </c>
      <c r="E108" s="744">
        <f>IF(E19=0,0,E77/E19)</f>
        <v>2707.1684936254037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11981.336736321582</v>
      </c>
      <c r="D109" s="744">
        <f>IF(D20=0,0,D77/D20)</f>
        <v>11524.404783393502</v>
      </c>
      <c r="E109" s="744">
        <f>IF(E20=0,0,E77/E20)</f>
        <v>11350.151181463638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1125.445153276999</v>
      </c>
      <c r="D110" s="744">
        <f>IF(D22=0,0,D77/D22)</f>
        <v>1156.689269193809</v>
      </c>
      <c r="E110" s="744">
        <f>IF(E22=0,0,E77/E22)</f>
        <v>1081.0197133969355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4892.8768431947638</v>
      </c>
      <c r="D111" s="744">
        <f>IF(D23=0,0,D77/D23)</f>
        <v>4683.8259817535109</v>
      </c>
      <c r="E111" s="744">
        <f>IF(E23=0,0,E77/E23)</f>
        <v>4532.3138201738766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970.60651265295724</v>
      </c>
      <c r="D112" s="744">
        <f>IF(D29=0,0,D77/D29)</f>
        <v>1008.4934893678911</v>
      </c>
      <c r="E112" s="744">
        <f>IF(E29=0,0,E77/E29)</f>
        <v>912.08147575123132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4219.7152973520533</v>
      </c>
      <c r="D113" s="744">
        <f>IF(D30=0,0,D77/D30)</f>
        <v>4083.7311573080069</v>
      </c>
      <c r="E113" s="744">
        <f>IF(E30=0,0,E77/E30)</f>
        <v>3824.0185876739888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FILING&amp;R&amp;"Arial,Bold"&amp;12GREENWICH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1168376920</v>
      </c>
      <c r="D12" s="76">
        <v>1181446542</v>
      </c>
      <c r="E12" s="76">
        <f t="shared" ref="E12:E21" si="0">D12-C12</f>
        <v>13069622</v>
      </c>
      <c r="F12" s="77">
        <f t="shared" ref="F12:F21" si="1">IF(C12=0,0,E12/C12)</f>
        <v>1.118613503594371E-2</v>
      </c>
    </row>
    <row r="13" spans="1:8" ht="23.1" customHeight="1" x14ac:dyDescent="0.2">
      <c r="A13" s="74">
        <v>2</v>
      </c>
      <c r="B13" s="75" t="s">
        <v>72</v>
      </c>
      <c r="C13" s="76">
        <v>773044000</v>
      </c>
      <c r="D13" s="76">
        <v>758139523</v>
      </c>
      <c r="E13" s="76">
        <f t="shared" si="0"/>
        <v>-14904477</v>
      </c>
      <c r="F13" s="77">
        <f t="shared" si="1"/>
        <v>-1.928024407407599E-2</v>
      </c>
    </row>
    <row r="14" spans="1:8" ht="23.1" customHeight="1" x14ac:dyDescent="0.2">
      <c r="A14" s="74">
        <v>3</v>
      </c>
      <c r="B14" s="75" t="s">
        <v>73</v>
      </c>
      <c r="C14" s="76">
        <v>20563000</v>
      </c>
      <c r="D14" s="76">
        <v>25346380</v>
      </c>
      <c r="E14" s="76">
        <f t="shared" si="0"/>
        <v>4783380</v>
      </c>
      <c r="F14" s="77">
        <f t="shared" si="1"/>
        <v>0.23262072654768273</v>
      </c>
    </row>
    <row r="15" spans="1:8" ht="23.1" customHeight="1" x14ac:dyDescent="0.2">
      <c r="A15" s="74">
        <v>4</v>
      </c>
      <c r="B15" s="75" t="s">
        <v>74</v>
      </c>
      <c r="C15" s="76">
        <v>21694710</v>
      </c>
      <c r="D15" s="76">
        <v>28735013</v>
      </c>
      <c r="E15" s="76">
        <f t="shared" si="0"/>
        <v>7040303</v>
      </c>
      <c r="F15" s="77">
        <f t="shared" si="1"/>
        <v>0.32451703664165132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353075210</v>
      </c>
      <c r="D16" s="79">
        <f>D12-D13-D14-D15</f>
        <v>369225626</v>
      </c>
      <c r="E16" s="79">
        <f t="shared" si="0"/>
        <v>16150416</v>
      </c>
      <c r="F16" s="80">
        <f t="shared" si="1"/>
        <v>4.574214088833934E-2</v>
      </c>
    </row>
    <row r="17" spans="1:7" ht="23.1" customHeight="1" x14ac:dyDescent="0.2">
      <c r="A17" s="74">
        <v>5</v>
      </c>
      <c r="B17" s="75" t="s">
        <v>76</v>
      </c>
      <c r="C17" s="76">
        <v>12338000</v>
      </c>
      <c r="D17" s="76">
        <v>15919399</v>
      </c>
      <c r="E17" s="76">
        <f t="shared" si="0"/>
        <v>3581399</v>
      </c>
      <c r="F17" s="77">
        <f t="shared" si="1"/>
        <v>0.29027386934673366</v>
      </c>
      <c r="G17" s="65"/>
    </row>
    <row r="18" spans="1:7" ht="31.5" customHeight="1" x14ac:dyDescent="0.25">
      <c r="A18" s="71"/>
      <c r="B18" s="81" t="s">
        <v>77</v>
      </c>
      <c r="C18" s="79">
        <f>C16-C17</f>
        <v>340737210</v>
      </c>
      <c r="D18" s="79">
        <f>D16-D17</f>
        <v>353306227</v>
      </c>
      <c r="E18" s="79">
        <f t="shared" si="0"/>
        <v>12569017</v>
      </c>
      <c r="F18" s="80">
        <f t="shared" si="1"/>
        <v>3.6887714728896209E-2</v>
      </c>
    </row>
    <row r="19" spans="1:7" ht="23.1" customHeight="1" x14ac:dyDescent="0.2">
      <c r="A19" s="74">
        <v>6</v>
      </c>
      <c r="B19" s="75" t="s">
        <v>78</v>
      </c>
      <c r="C19" s="76">
        <v>15127276</v>
      </c>
      <c r="D19" s="76">
        <v>14919230</v>
      </c>
      <c r="E19" s="76">
        <f t="shared" si="0"/>
        <v>-208046</v>
      </c>
      <c r="F19" s="77">
        <f t="shared" si="1"/>
        <v>-1.3753037889967764E-2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4783198</v>
      </c>
      <c r="D20" s="76">
        <v>5266373</v>
      </c>
      <c r="E20" s="76">
        <f t="shared" si="0"/>
        <v>483175</v>
      </c>
      <c r="F20" s="77">
        <f t="shared" si="1"/>
        <v>0.10101505310881967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360647684</v>
      </c>
      <c r="D21" s="79">
        <f>SUM(D18:D20)</f>
        <v>373491830</v>
      </c>
      <c r="E21" s="79">
        <f t="shared" si="0"/>
        <v>12844146</v>
      </c>
      <c r="F21" s="80">
        <f t="shared" si="1"/>
        <v>3.561410919805047E-2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116725687</v>
      </c>
      <c r="D24" s="76">
        <v>118979289</v>
      </c>
      <c r="E24" s="76">
        <f t="shared" ref="E24:E33" si="2">D24-C24</f>
        <v>2253602</v>
      </c>
      <c r="F24" s="77">
        <f t="shared" ref="F24:F33" si="3">IF(C24=0,0,E24/C24)</f>
        <v>1.9306821471095734E-2</v>
      </c>
    </row>
    <row r="25" spans="1:7" ht="23.1" customHeight="1" x14ac:dyDescent="0.2">
      <c r="A25" s="74">
        <v>2</v>
      </c>
      <c r="B25" s="75" t="s">
        <v>83</v>
      </c>
      <c r="C25" s="76">
        <v>36502799</v>
      </c>
      <c r="D25" s="76">
        <v>29446638</v>
      </c>
      <c r="E25" s="76">
        <f t="shared" si="2"/>
        <v>-7056161</v>
      </c>
      <c r="F25" s="77">
        <f t="shared" si="3"/>
        <v>-0.19330465589775733</v>
      </c>
    </row>
    <row r="26" spans="1:7" ht="23.1" customHeight="1" x14ac:dyDescent="0.2">
      <c r="A26" s="74">
        <v>3</v>
      </c>
      <c r="B26" s="75" t="s">
        <v>84</v>
      </c>
      <c r="C26" s="76">
        <v>10436943</v>
      </c>
      <c r="D26" s="76">
        <v>12709543</v>
      </c>
      <c r="E26" s="76">
        <f t="shared" si="2"/>
        <v>2272600</v>
      </c>
      <c r="F26" s="77">
        <f t="shared" si="3"/>
        <v>0.21774575179724562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51195100</v>
      </c>
      <c r="D27" s="76">
        <v>55588770</v>
      </c>
      <c r="E27" s="76">
        <f t="shared" si="2"/>
        <v>4393670</v>
      </c>
      <c r="F27" s="77">
        <f t="shared" si="3"/>
        <v>8.582208062881018E-2</v>
      </c>
    </row>
    <row r="28" spans="1:7" ht="23.1" customHeight="1" x14ac:dyDescent="0.2">
      <c r="A28" s="74">
        <v>5</v>
      </c>
      <c r="B28" s="75" t="s">
        <v>86</v>
      </c>
      <c r="C28" s="76">
        <v>23853013</v>
      </c>
      <c r="D28" s="76">
        <v>23457464</v>
      </c>
      <c r="E28" s="76">
        <f t="shared" si="2"/>
        <v>-395549</v>
      </c>
      <c r="F28" s="77">
        <f t="shared" si="3"/>
        <v>-1.6582768809961242E-2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310142</v>
      </c>
      <c r="D30" s="76">
        <v>325149</v>
      </c>
      <c r="E30" s="76">
        <f t="shared" si="2"/>
        <v>15007</v>
      </c>
      <c r="F30" s="77">
        <f t="shared" si="3"/>
        <v>4.8387512816709763E-2</v>
      </c>
    </row>
    <row r="31" spans="1:7" ht="23.1" customHeight="1" x14ac:dyDescent="0.2">
      <c r="A31" s="74">
        <v>8</v>
      </c>
      <c r="B31" s="75" t="s">
        <v>89</v>
      </c>
      <c r="C31" s="76">
        <v>1279220</v>
      </c>
      <c r="D31" s="76">
        <v>2162707</v>
      </c>
      <c r="E31" s="76">
        <f t="shared" si="2"/>
        <v>883487</v>
      </c>
      <c r="F31" s="77">
        <f t="shared" si="3"/>
        <v>0.69064508059598817</v>
      </c>
    </row>
    <row r="32" spans="1:7" ht="23.1" customHeight="1" x14ac:dyDescent="0.2">
      <c r="A32" s="74">
        <v>9</v>
      </c>
      <c r="B32" s="75" t="s">
        <v>90</v>
      </c>
      <c r="C32" s="76">
        <v>87866052</v>
      </c>
      <c r="D32" s="76">
        <v>99883215</v>
      </c>
      <c r="E32" s="76">
        <f t="shared" si="2"/>
        <v>12017163</v>
      </c>
      <c r="F32" s="77">
        <f t="shared" si="3"/>
        <v>0.13676684824760307</v>
      </c>
    </row>
    <row r="33" spans="1:6" ht="23.1" customHeight="1" x14ac:dyDescent="0.25">
      <c r="A33" s="71"/>
      <c r="B33" s="78" t="s">
        <v>91</v>
      </c>
      <c r="C33" s="79">
        <f>SUM(C24:C32)</f>
        <v>328168956</v>
      </c>
      <c r="D33" s="79">
        <f>SUM(D24:D32)</f>
        <v>342552775</v>
      </c>
      <c r="E33" s="79">
        <f t="shared" si="2"/>
        <v>14383819</v>
      </c>
      <c r="F33" s="80">
        <f t="shared" si="3"/>
        <v>4.3830529174124562E-2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32478728</v>
      </c>
      <c r="D35" s="79">
        <f>+D21-D33</f>
        <v>30939055</v>
      </c>
      <c r="E35" s="79">
        <f>D35-C35</f>
        <v>-1539673</v>
      </c>
      <c r="F35" s="80">
        <f>IF(C35=0,0,E35/C35)</f>
        <v>-4.7405581893478092E-2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1937173</v>
      </c>
      <c r="D38" s="76">
        <v>2590249</v>
      </c>
      <c r="E38" s="76">
        <f>D38-C38</f>
        <v>653076</v>
      </c>
      <c r="F38" s="77">
        <f>IF(C38=0,0,E38/C38)</f>
        <v>0.33712838244183663</v>
      </c>
    </row>
    <row r="39" spans="1:6" ht="23.1" customHeight="1" x14ac:dyDescent="0.2">
      <c r="A39" s="85">
        <v>2</v>
      </c>
      <c r="B39" s="75" t="s">
        <v>95</v>
      </c>
      <c r="C39" s="76">
        <v>2759583</v>
      </c>
      <c r="D39" s="76">
        <v>2110254</v>
      </c>
      <c r="E39" s="76">
        <f>D39-C39</f>
        <v>-649329</v>
      </c>
      <c r="F39" s="77">
        <f>IF(C39=0,0,E39/C39)</f>
        <v>-0.23529968114747771</v>
      </c>
    </row>
    <row r="40" spans="1:6" ht="23.1" customHeight="1" x14ac:dyDescent="0.2">
      <c r="A40" s="85">
        <v>3</v>
      </c>
      <c r="B40" s="75" t="s">
        <v>96</v>
      </c>
      <c r="C40" s="76">
        <v>-1853430</v>
      </c>
      <c r="D40" s="76">
        <v>-3150594</v>
      </c>
      <c r="E40" s="76">
        <f>D40-C40</f>
        <v>-1297164</v>
      </c>
      <c r="F40" s="77">
        <f>IF(C40=0,0,E40/C40)</f>
        <v>0.69987212897169038</v>
      </c>
    </row>
    <row r="41" spans="1:6" ht="23.1" customHeight="1" x14ac:dyDescent="0.25">
      <c r="A41" s="83"/>
      <c r="B41" s="78" t="s">
        <v>97</v>
      </c>
      <c r="C41" s="79">
        <f>SUM(C38:C40)</f>
        <v>2843326</v>
      </c>
      <c r="D41" s="79">
        <f>SUM(D38:D40)</f>
        <v>1549909</v>
      </c>
      <c r="E41" s="79">
        <f>D41-C41</f>
        <v>-1293417</v>
      </c>
      <c r="F41" s="80">
        <f>IF(C41=0,0,E41/C41)</f>
        <v>-0.45489578050494384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35322054</v>
      </c>
      <c r="D43" s="79">
        <f>D35+D41</f>
        <v>32488964</v>
      </c>
      <c r="E43" s="79">
        <f>D43-C43</f>
        <v>-2833090</v>
      </c>
      <c r="F43" s="80">
        <f>IF(C43=0,0,E43/C43)</f>
        <v>-8.0207396772565942E-2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-7035417</v>
      </c>
      <c r="D46" s="76">
        <v>3285908</v>
      </c>
      <c r="E46" s="76">
        <f>D46-C46</f>
        <v>10321325</v>
      </c>
      <c r="F46" s="77">
        <f>IF(C46=0,0,E46/C46)</f>
        <v>-1.4670523438767027</v>
      </c>
    </row>
    <row r="47" spans="1:6" ht="23.1" customHeight="1" x14ac:dyDescent="0.2">
      <c r="A47" s="85"/>
      <c r="B47" s="75" t="s">
        <v>101</v>
      </c>
      <c r="C47" s="76">
        <v>-1430468</v>
      </c>
      <c r="D47" s="76">
        <v>-1069303</v>
      </c>
      <c r="E47" s="76">
        <f>D47-C47</f>
        <v>361165</v>
      </c>
      <c r="F47" s="77">
        <f>IF(C47=0,0,E47/C47)</f>
        <v>-0.25248030714423531</v>
      </c>
    </row>
    <row r="48" spans="1:6" ht="23.1" customHeight="1" x14ac:dyDescent="0.25">
      <c r="A48" s="83"/>
      <c r="B48" s="78" t="s">
        <v>102</v>
      </c>
      <c r="C48" s="79">
        <f>SUM(C46:C47)</f>
        <v>-8465885</v>
      </c>
      <c r="D48" s="79">
        <f>SUM(D46:D47)</f>
        <v>2216605</v>
      </c>
      <c r="E48" s="79">
        <f>D48-C48</f>
        <v>10682490</v>
      </c>
      <c r="F48" s="80">
        <f>IF(C48=0,0,E48/C48)</f>
        <v>-1.2618279128525842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26856169</v>
      </c>
      <c r="D50" s="79">
        <f>D43+D48</f>
        <v>34705569</v>
      </c>
      <c r="E50" s="79">
        <f>D50-C50</f>
        <v>7849400</v>
      </c>
      <c r="F50" s="80">
        <f>IF(C50=0,0,E50/C50)</f>
        <v>0.29227549171290962</v>
      </c>
    </row>
    <row r="51" spans="1:6" ht="23.1" customHeight="1" x14ac:dyDescent="0.2">
      <c r="A51" s="85"/>
      <c r="B51" s="75" t="s">
        <v>104</v>
      </c>
      <c r="C51" s="76">
        <v>2605000</v>
      </c>
      <c r="D51" s="76">
        <v>2675000</v>
      </c>
      <c r="E51" s="76">
        <f>D51-C51</f>
        <v>70000</v>
      </c>
      <c r="F51" s="77">
        <f>IF(C51=0,0,E51/C51)</f>
        <v>2.6871401151631478E-2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FILING&amp;RGREENWICH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207872729</v>
      </c>
      <c r="D14" s="113">
        <v>202214709</v>
      </c>
      <c r="E14" s="113">
        <f t="shared" ref="E14:E25" si="0">D14-C14</f>
        <v>-5658020</v>
      </c>
      <c r="F14" s="114">
        <f t="shared" ref="F14:F25" si="1">IF(C14=0,0,E14/C14)</f>
        <v>-2.721867378765206E-2</v>
      </c>
    </row>
    <row r="15" spans="1:6" x14ac:dyDescent="0.2">
      <c r="A15" s="115">
        <v>2</v>
      </c>
      <c r="B15" s="116" t="s">
        <v>114</v>
      </c>
      <c r="C15" s="113">
        <v>32013524</v>
      </c>
      <c r="D15" s="113">
        <v>30116906</v>
      </c>
      <c r="E15" s="113">
        <f t="shared" si="0"/>
        <v>-1896618</v>
      </c>
      <c r="F15" s="114">
        <f t="shared" si="1"/>
        <v>-5.9244274388536543E-2</v>
      </c>
    </row>
    <row r="16" spans="1:6" x14ac:dyDescent="0.2">
      <c r="A16" s="115">
        <v>3</v>
      </c>
      <c r="B16" s="116" t="s">
        <v>115</v>
      </c>
      <c r="C16" s="113">
        <v>14294353</v>
      </c>
      <c r="D16" s="113">
        <v>15286849</v>
      </c>
      <c r="E16" s="113">
        <f t="shared" si="0"/>
        <v>992496</v>
      </c>
      <c r="F16" s="114">
        <f t="shared" si="1"/>
        <v>6.943273333182691E-2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435071</v>
      </c>
      <c r="D18" s="113">
        <v>279021</v>
      </c>
      <c r="E18" s="113">
        <f t="shared" si="0"/>
        <v>-156050</v>
      </c>
      <c r="F18" s="114">
        <f t="shared" si="1"/>
        <v>-0.35867708948654359</v>
      </c>
    </row>
    <row r="19" spans="1:6" x14ac:dyDescent="0.2">
      <c r="A19" s="115">
        <v>6</v>
      </c>
      <c r="B19" s="116" t="s">
        <v>118</v>
      </c>
      <c r="C19" s="113">
        <v>83766049</v>
      </c>
      <c r="D19" s="113">
        <v>90195398</v>
      </c>
      <c r="E19" s="113">
        <f t="shared" si="0"/>
        <v>6429349</v>
      </c>
      <c r="F19" s="114">
        <f t="shared" si="1"/>
        <v>7.6753637980466291E-2</v>
      </c>
    </row>
    <row r="20" spans="1:6" x14ac:dyDescent="0.2">
      <c r="A20" s="115">
        <v>7</v>
      </c>
      <c r="B20" s="116" t="s">
        <v>119</v>
      </c>
      <c r="C20" s="113">
        <v>115313591</v>
      </c>
      <c r="D20" s="113">
        <v>112957755</v>
      </c>
      <c r="E20" s="113">
        <f t="shared" si="0"/>
        <v>-2355836</v>
      </c>
      <c r="F20" s="114">
        <f t="shared" si="1"/>
        <v>-2.0429820800568078E-2</v>
      </c>
    </row>
    <row r="21" spans="1:6" x14ac:dyDescent="0.2">
      <c r="A21" s="115">
        <v>8</v>
      </c>
      <c r="B21" s="116" t="s">
        <v>120</v>
      </c>
      <c r="C21" s="113">
        <v>3724297</v>
      </c>
      <c r="D21" s="113">
        <v>2656262</v>
      </c>
      <c r="E21" s="113">
        <f t="shared" si="0"/>
        <v>-1068035</v>
      </c>
      <c r="F21" s="114">
        <f t="shared" si="1"/>
        <v>-0.28677492691909373</v>
      </c>
    </row>
    <row r="22" spans="1:6" x14ac:dyDescent="0.2">
      <c r="A22" s="115">
        <v>9</v>
      </c>
      <c r="B22" s="116" t="s">
        <v>121</v>
      </c>
      <c r="C22" s="113">
        <v>4393306</v>
      </c>
      <c r="D22" s="113">
        <v>4743689</v>
      </c>
      <c r="E22" s="113">
        <f t="shared" si="0"/>
        <v>350383</v>
      </c>
      <c r="F22" s="114">
        <f t="shared" si="1"/>
        <v>7.9753834583796354E-2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13046673</v>
      </c>
      <c r="D24" s="113">
        <v>13321672</v>
      </c>
      <c r="E24" s="113">
        <f t="shared" si="0"/>
        <v>274999</v>
      </c>
      <c r="F24" s="114">
        <f t="shared" si="1"/>
        <v>2.1078094009101017E-2</v>
      </c>
    </row>
    <row r="25" spans="1:6" ht="15.75" x14ac:dyDescent="0.25">
      <c r="A25" s="117"/>
      <c r="B25" s="118" t="s">
        <v>124</v>
      </c>
      <c r="C25" s="119">
        <f>SUM(C14:C24)</f>
        <v>474859593</v>
      </c>
      <c r="D25" s="119">
        <f>SUM(D14:D24)</f>
        <v>471772261</v>
      </c>
      <c r="E25" s="119">
        <f t="shared" si="0"/>
        <v>-3087332</v>
      </c>
      <c r="F25" s="120">
        <f t="shared" si="1"/>
        <v>-6.5015681382686102E-3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221839670</v>
      </c>
      <c r="D27" s="113">
        <v>229767881</v>
      </c>
      <c r="E27" s="113">
        <f t="shared" ref="E27:E38" si="2">D27-C27</f>
        <v>7928211</v>
      </c>
      <c r="F27" s="114">
        <f t="shared" ref="F27:F38" si="3">IF(C27=0,0,E27/C27)</f>
        <v>3.5738472744753003E-2</v>
      </c>
    </row>
    <row r="28" spans="1:6" x14ac:dyDescent="0.2">
      <c r="A28" s="115">
        <v>2</v>
      </c>
      <c r="B28" s="116" t="s">
        <v>114</v>
      </c>
      <c r="C28" s="113">
        <v>26661591</v>
      </c>
      <c r="D28" s="113">
        <v>27517527</v>
      </c>
      <c r="E28" s="113">
        <f t="shared" si="2"/>
        <v>855936</v>
      </c>
      <c r="F28" s="114">
        <f t="shared" si="3"/>
        <v>3.2103710540004909E-2</v>
      </c>
    </row>
    <row r="29" spans="1:6" x14ac:dyDescent="0.2">
      <c r="A29" s="115">
        <v>3</v>
      </c>
      <c r="B29" s="116" t="s">
        <v>115</v>
      </c>
      <c r="C29" s="113">
        <v>34932154</v>
      </c>
      <c r="D29" s="113">
        <v>35446769</v>
      </c>
      <c r="E29" s="113">
        <f t="shared" si="2"/>
        <v>514615</v>
      </c>
      <c r="F29" s="114">
        <f t="shared" si="3"/>
        <v>1.47318427601115E-2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707594</v>
      </c>
      <c r="D31" s="113">
        <v>760032</v>
      </c>
      <c r="E31" s="113">
        <f t="shared" si="2"/>
        <v>52438</v>
      </c>
      <c r="F31" s="114">
        <f t="shared" si="3"/>
        <v>7.4107468407024368E-2</v>
      </c>
    </row>
    <row r="32" spans="1:6" x14ac:dyDescent="0.2">
      <c r="A32" s="115">
        <v>6</v>
      </c>
      <c r="B32" s="116" t="s">
        <v>118</v>
      </c>
      <c r="C32" s="113">
        <v>141511879</v>
      </c>
      <c r="D32" s="113">
        <v>140692979</v>
      </c>
      <c r="E32" s="113">
        <f t="shared" si="2"/>
        <v>-818900</v>
      </c>
      <c r="F32" s="114">
        <f t="shared" si="3"/>
        <v>-5.7867933475747287E-3</v>
      </c>
    </row>
    <row r="33" spans="1:6" x14ac:dyDescent="0.2">
      <c r="A33" s="115">
        <v>7</v>
      </c>
      <c r="B33" s="116" t="s">
        <v>119</v>
      </c>
      <c r="C33" s="113">
        <v>221934835</v>
      </c>
      <c r="D33" s="113">
        <v>222953519</v>
      </c>
      <c r="E33" s="113">
        <f t="shared" si="2"/>
        <v>1018684</v>
      </c>
      <c r="F33" s="114">
        <f t="shared" si="3"/>
        <v>4.5900140011819234E-3</v>
      </c>
    </row>
    <row r="34" spans="1:6" x14ac:dyDescent="0.2">
      <c r="A34" s="115">
        <v>8</v>
      </c>
      <c r="B34" s="116" t="s">
        <v>120</v>
      </c>
      <c r="C34" s="113">
        <v>3695596</v>
      </c>
      <c r="D34" s="113">
        <v>3416605</v>
      </c>
      <c r="E34" s="113">
        <f t="shared" si="2"/>
        <v>-278991</v>
      </c>
      <c r="F34" s="114">
        <f t="shared" si="3"/>
        <v>-7.5492829843954806E-2</v>
      </c>
    </row>
    <row r="35" spans="1:6" x14ac:dyDescent="0.2">
      <c r="A35" s="115">
        <v>9</v>
      </c>
      <c r="B35" s="116" t="s">
        <v>121</v>
      </c>
      <c r="C35" s="113">
        <v>24491778</v>
      </c>
      <c r="D35" s="113">
        <v>31595880</v>
      </c>
      <c r="E35" s="113">
        <f t="shared" si="2"/>
        <v>7104102</v>
      </c>
      <c r="F35" s="114">
        <f t="shared" si="3"/>
        <v>0.2900606889381408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17742228</v>
      </c>
      <c r="D37" s="113">
        <v>17523088</v>
      </c>
      <c r="E37" s="113">
        <f t="shared" si="2"/>
        <v>-219140</v>
      </c>
      <c r="F37" s="114">
        <f t="shared" si="3"/>
        <v>-1.2351323633085991E-2</v>
      </c>
    </row>
    <row r="38" spans="1:6" ht="15.75" x14ac:dyDescent="0.25">
      <c r="A38" s="117"/>
      <c r="B38" s="118" t="s">
        <v>126</v>
      </c>
      <c r="C38" s="119">
        <f>SUM(C27:C37)</f>
        <v>693517325</v>
      </c>
      <c r="D38" s="119">
        <f>SUM(D27:D37)</f>
        <v>709674280</v>
      </c>
      <c r="E38" s="119">
        <f t="shared" si="2"/>
        <v>16156955</v>
      </c>
      <c r="F38" s="120">
        <f t="shared" si="3"/>
        <v>2.3297118064065668E-2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429712399</v>
      </c>
      <c r="D41" s="119">
        <f t="shared" si="4"/>
        <v>431982590</v>
      </c>
      <c r="E41" s="123">
        <f t="shared" ref="E41:E52" si="5">D41-C41</f>
        <v>2270191</v>
      </c>
      <c r="F41" s="124">
        <f t="shared" ref="F41:F52" si="6">IF(C41=0,0,E41/C41)</f>
        <v>5.2830474644972947E-3</v>
      </c>
    </row>
    <row r="42" spans="1:6" ht="15.75" x14ac:dyDescent="0.25">
      <c r="A42" s="121">
        <v>2</v>
      </c>
      <c r="B42" s="122" t="s">
        <v>114</v>
      </c>
      <c r="C42" s="119">
        <f t="shared" si="4"/>
        <v>58675115</v>
      </c>
      <c r="D42" s="119">
        <f t="shared" si="4"/>
        <v>57634433</v>
      </c>
      <c r="E42" s="123">
        <f t="shared" si="5"/>
        <v>-1040682</v>
      </c>
      <c r="F42" s="124">
        <f t="shared" si="6"/>
        <v>-1.7736343593020652E-2</v>
      </c>
    </row>
    <row r="43" spans="1:6" ht="15.75" x14ac:dyDescent="0.25">
      <c r="A43" s="121">
        <v>3</v>
      </c>
      <c r="B43" s="122" t="s">
        <v>115</v>
      </c>
      <c r="C43" s="119">
        <f t="shared" si="4"/>
        <v>49226507</v>
      </c>
      <c r="D43" s="119">
        <f t="shared" si="4"/>
        <v>50733618</v>
      </c>
      <c r="E43" s="123">
        <f t="shared" si="5"/>
        <v>1507111</v>
      </c>
      <c r="F43" s="124">
        <f t="shared" si="6"/>
        <v>3.061584280192783E-2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1142665</v>
      </c>
      <c r="D45" s="119">
        <f t="shared" si="4"/>
        <v>1039053</v>
      </c>
      <c r="E45" s="123">
        <f t="shared" si="5"/>
        <v>-103612</v>
      </c>
      <c r="F45" s="124">
        <f t="shared" si="6"/>
        <v>-9.0675744859604515E-2</v>
      </c>
    </row>
    <row r="46" spans="1:6" ht="15.75" x14ac:dyDescent="0.25">
      <c r="A46" s="121">
        <v>6</v>
      </c>
      <c r="B46" s="122" t="s">
        <v>118</v>
      </c>
      <c r="C46" s="119">
        <f t="shared" si="4"/>
        <v>225277928</v>
      </c>
      <c r="D46" s="119">
        <f t="shared" si="4"/>
        <v>230888377</v>
      </c>
      <c r="E46" s="123">
        <f t="shared" si="5"/>
        <v>5610449</v>
      </c>
      <c r="F46" s="124">
        <f t="shared" si="6"/>
        <v>2.4904565883613772E-2</v>
      </c>
    </row>
    <row r="47" spans="1:6" ht="15.75" x14ac:dyDescent="0.25">
      <c r="A47" s="121">
        <v>7</v>
      </c>
      <c r="B47" s="122" t="s">
        <v>119</v>
      </c>
      <c r="C47" s="119">
        <f t="shared" si="4"/>
        <v>337248426</v>
      </c>
      <c r="D47" s="119">
        <f t="shared" si="4"/>
        <v>335911274</v>
      </c>
      <c r="E47" s="123">
        <f t="shared" si="5"/>
        <v>-1337152</v>
      </c>
      <c r="F47" s="124">
        <f t="shared" si="6"/>
        <v>-3.9648872964643577E-3</v>
      </c>
    </row>
    <row r="48" spans="1:6" ht="15.75" x14ac:dyDescent="0.25">
      <c r="A48" s="121">
        <v>8</v>
      </c>
      <c r="B48" s="122" t="s">
        <v>120</v>
      </c>
      <c r="C48" s="119">
        <f t="shared" si="4"/>
        <v>7419893</v>
      </c>
      <c r="D48" s="119">
        <f t="shared" si="4"/>
        <v>6072867</v>
      </c>
      <c r="E48" s="123">
        <f t="shared" si="5"/>
        <v>-1347026</v>
      </c>
      <c r="F48" s="124">
        <f t="shared" si="6"/>
        <v>-0.18154251011436418</v>
      </c>
    </row>
    <row r="49" spans="1:6" ht="15.75" x14ac:dyDescent="0.25">
      <c r="A49" s="121">
        <v>9</v>
      </c>
      <c r="B49" s="122" t="s">
        <v>121</v>
      </c>
      <c r="C49" s="119">
        <f t="shared" si="4"/>
        <v>28885084</v>
      </c>
      <c r="D49" s="119">
        <f t="shared" si="4"/>
        <v>36339569</v>
      </c>
      <c r="E49" s="123">
        <f t="shared" si="5"/>
        <v>7454485</v>
      </c>
      <c r="F49" s="124">
        <f t="shared" si="6"/>
        <v>0.25807385569659413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30788901</v>
      </c>
      <c r="D51" s="119">
        <f t="shared" si="4"/>
        <v>30844760</v>
      </c>
      <c r="E51" s="123">
        <f t="shared" si="5"/>
        <v>55859</v>
      </c>
      <c r="F51" s="124">
        <f t="shared" si="6"/>
        <v>1.8142576768167204E-3</v>
      </c>
    </row>
    <row r="52" spans="1:6" ht="18.75" customHeight="1" thickBot="1" x14ac:dyDescent="0.3">
      <c r="A52" s="125"/>
      <c r="B52" s="126" t="s">
        <v>128</v>
      </c>
      <c r="C52" s="127">
        <f>SUM(C41:C51)</f>
        <v>1168376918</v>
      </c>
      <c r="D52" s="128">
        <f>SUM(D41:D51)</f>
        <v>1181446541</v>
      </c>
      <c r="E52" s="127">
        <f t="shared" si="5"/>
        <v>13069623</v>
      </c>
      <c r="F52" s="129">
        <f t="shared" si="6"/>
        <v>1.1186135910980055E-2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49136265</v>
      </c>
      <c r="D57" s="113">
        <v>48839342</v>
      </c>
      <c r="E57" s="113">
        <f t="shared" ref="E57:E68" si="7">D57-C57</f>
        <v>-296923</v>
      </c>
      <c r="F57" s="114">
        <f t="shared" ref="F57:F68" si="8">IF(C57=0,0,E57/C57)</f>
        <v>-6.0428483931369223E-3</v>
      </c>
    </row>
    <row r="58" spans="1:6" x14ac:dyDescent="0.2">
      <c r="A58" s="115">
        <v>2</v>
      </c>
      <c r="B58" s="116" t="s">
        <v>114</v>
      </c>
      <c r="C58" s="113">
        <v>7369784</v>
      </c>
      <c r="D58" s="113">
        <v>7407663</v>
      </c>
      <c r="E58" s="113">
        <f t="shared" si="7"/>
        <v>37879</v>
      </c>
      <c r="F58" s="114">
        <f t="shared" si="8"/>
        <v>5.1397707178392205E-3</v>
      </c>
    </row>
    <row r="59" spans="1:6" x14ac:dyDescent="0.2">
      <c r="A59" s="115">
        <v>3</v>
      </c>
      <c r="B59" s="116" t="s">
        <v>115</v>
      </c>
      <c r="C59" s="113">
        <v>2546966</v>
      </c>
      <c r="D59" s="113">
        <v>3143611</v>
      </c>
      <c r="E59" s="113">
        <f t="shared" si="7"/>
        <v>596645</v>
      </c>
      <c r="F59" s="114">
        <f t="shared" si="8"/>
        <v>0.23425715144999973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64687</v>
      </c>
      <c r="D61" s="113">
        <v>40426</v>
      </c>
      <c r="E61" s="113">
        <f t="shared" si="7"/>
        <v>-24261</v>
      </c>
      <c r="F61" s="114">
        <f t="shared" si="8"/>
        <v>-0.37505217431632321</v>
      </c>
    </row>
    <row r="62" spans="1:6" x14ac:dyDescent="0.2">
      <c r="A62" s="115">
        <v>6</v>
      </c>
      <c r="B62" s="116" t="s">
        <v>118</v>
      </c>
      <c r="C62" s="113">
        <v>34398831</v>
      </c>
      <c r="D62" s="113">
        <v>49356901</v>
      </c>
      <c r="E62" s="113">
        <f t="shared" si="7"/>
        <v>14958070</v>
      </c>
      <c r="F62" s="114">
        <f t="shared" si="8"/>
        <v>0.43484239333598285</v>
      </c>
    </row>
    <row r="63" spans="1:6" x14ac:dyDescent="0.2">
      <c r="A63" s="115">
        <v>7</v>
      </c>
      <c r="B63" s="116" t="s">
        <v>119</v>
      </c>
      <c r="C63" s="113">
        <v>51775582</v>
      </c>
      <c r="D63" s="113">
        <v>51868894</v>
      </c>
      <c r="E63" s="113">
        <f t="shared" si="7"/>
        <v>93312</v>
      </c>
      <c r="F63" s="114">
        <f t="shared" si="8"/>
        <v>1.8022395190072417E-3</v>
      </c>
    </row>
    <row r="64" spans="1:6" x14ac:dyDescent="0.2">
      <c r="A64" s="115">
        <v>8</v>
      </c>
      <c r="B64" s="116" t="s">
        <v>120</v>
      </c>
      <c r="C64" s="113">
        <v>1411928</v>
      </c>
      <c r="D64" s="113">
        <v>732536</v>
      </c>
      <c r="E64" s="113">
        <f t="shared" si="7"/>
        <v>-679392</v>
      </c>
      <c r="F64" s="114">
        <f t="shared" si="8"/>
        <v>-0.48118034347360489</v>
      </c>
    </row>
    <row r="65" spans="1:6" x14ac:dyDescent="0.2">
      <c r="A65" s="115">
        <v>9</v>
      </c>
      <c r="B65" s="116" t="s">
        <v>121</v>
      </c>
      <c r="C65" s="113">
        <v>2420412</v>
      </c>
      <c r="D65" s="113">
        <v>1088297</v>
      </c>
      <c r="E65" s="113">
        <f t="shared" si="7"/>
        <v>-1332115</v>
      </c>
      <c r="F65" s="114">
        <f t="shared" si="8"/>
        <v>-0.55036704494937227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2855625</v>
      </c>
      <c r="D67" s="113">
        <v>3500630</v>
      </c>
      <c r="E67" s="113">
        <f t="shared" si="7"/>
        <v>645005</v>
      </c>
      <c r="F67" s="114">
        <f t="shared" si="8"/>
        <v>0.22587174436419347</v>
      </c>
    </row>
    <row r="68" spans="1:6" ht="15.75" x14ac:dyDescent="0.25">
      <c r="A68" s="117"/>
      <c r="B68" s="118" t="s">
        <v>131</v>
      </c>
      <c r="C68" s="119">
        <f>SUM(C57:C67)</f>
        <v>151980080</v>
      </c>
      <c r="D68" s="119">
        <f>SUM(D57:D67)</f>
        <v>165978300</v>
      </c>
      <c r="E68" s="119">
        <f t="shared" si="7"/>
        <v>13998220</v>
      </c>
      <c r="F68" s="120">
        <f t="shared" si="8"/>
        <v>9.2105623315897708E-2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34268077</v>
      </c>
      <c r="D70" s="113">
        <v>39818387</v>
      </c>
      <c r="E70" s="113">
        <f t="shared" ref="E70:E81" si="9">D70-C70</f>
        <v>5550310</v>
      </c>
      <c r="F70" s="114">
        <f t="shared" ref="F70:F81" si="10">IF(C70=0,0,E70/C70)</f>
        <v>0.16196736105151158</v>
      </c>
    </row>
    <row r="71" spans="1:6" x14ac:dyDescent="0.2">
      <c r="A71" s="115">
        <v>2</v>
      </c>
      <c r="B71" s="116" t="s">
        <v>114</v>
      </c>
      <c r="C71" s="113">
        <v>4270871</v>
      </c>
      <c r="D71" s="113">
        <v>4635312</v>
      </c>
      <c r="E71" s="113">
        <f t="shared" si="9"/>
        <v>364441</v>
      </c>
      <c r="F71" s="114">
        <f t="shared" si="10"/>
        <v>8.5331774244644706E-2</v>
      </c>
    </row>
    <row r="72" spans="1:6" x14ac:dyDescent="0.2">
      <c r="A72" s="115">
        <v>3</v>
      </c>
      <c r="B72" s="116" t="s">
        <v>115</v>
      </c>
      <c r="C72" s="113">
        <v>5682064</v>
      </c>
      <c r="D72" s="113">
        <v>5624228</v>
      </c>
      <c r="E72" s="113">
        <f t="shared" si="9"/>
        <v>-57836</v>
      </c>
      <c r="F72" s="114">
        <f t="shared" si="10"/>
        <v>-1.0178695628912311E-2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180036</v>
      </c>
      <c r="D74" s="113">
        <v>126261</v>
      </c>
      <c r="E74" s="113">
        <f t="shared" si="9"/>
        <v>-53775</v>
      </c>
      <c r="F74" s="114">
        <f t="shared" si="10"/>
        <v>-0.2986902619476105</v>
      </c>
    </row>
    <row r="75" spans="1:6" x14ac:dyDescent="0.2">
      <c r="A75" s="115">
        <v>6</v>
      </c>
      <c r="B75" s="116" t="s">
        <v>118</v>
      </c>
      <c r="C75" s="113">
        <v>57826471</v>
      </c>
      <c r="D75" s="113">
        <v>63870237</v>
      </c>
      <c r="E75" s="113">
        <f t="shared" si="9"/>
        <v>6043766</v>
      </c>
      <c r="F75" s="114">
        <f t="shared" si="10"/>
        <v>0.10451556001057025</v>
      </c>
    </row>
    <row r="76" spans="1:6" x14ac:dyDescent="0.2">
      <c r="A76" s="115">
        <v>7</v>
      </c>
      <c r="B76" s="116" t="s">
        <v>119</v>
      </c>
      <c r="C76" s="113">
        <v>95195124</v>
      </c>
      <c r="D76" s="113">
        <v>86850026</v>
      </c>
      <c r="E76" s="113">
        <f t="shared" si="9"/>
        <v>-8345098</v>
      </c>
      <c r="F76" s="114">
        <f t="shared" si="10"/>
        <v>-8.7663082407456086E-2</v>
      </c>
    </row>
    <row r="77" spans="1:6" x14ac:dyDescent="0.2">
      <c r="A77" s="115">
        <v>8</v>
      </c>
      <c r="B77" s="116" t="s">
        <v>120</v>
      </c>
      <c r="C77" s="113">
        <v>1189592</v>
      </c>
      <c r="D77" s="113">
        <v>1006540</v>
      </c>
      <c r="E77" s="113">
        <f t="shared" si="9"/>
        <v>-183052</v>
      </c>
      <c r="F77" s="114">
        <f t="shared" si="10"/>
        <v>-0.15387796824457461</v>
      </c>
    </row>
    <row r="78" spans="1:6" x14ac:dyDescent="0.2">
      <c r="A78" s="115">
        <v>9</v>
      </c>
      <c r="B78" s="116" t="s">
        <v>121</v>
      </c>
      <c r="C78" s="113">
        <v>1721063</v>
      </c>
      <c r="D78" s="113">
        <v>2341069</v>
      </c>
      <c r="E78" s="113">
        <f t="shared" si="9"/>
        <v>620006</v>
      </c>
      <c r="F78" s="114">
        <f t="shared" si="10"/>
        <v>0.36024596426743238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2429597</v>
      </c>
      <c r="D80" s="113">
        <v>2187545</v>
      </c>
      <c r="E80" s="113">
        <f t="shared" si="9"/>
        <v>-242052</v>
      </c>
      <c r="F80" s="114">
        <f t="shared" si="10"/>
        <v>-9.9626398945998035E-2</v>
      </c>
    </row>
    <row r="81" spans="1:6" ht="15.75" x14ac:dyDescent="0.25">
      <c r="A81" s="117"/>
      <c r="B81" s="118" t="s">
        <v>133</v>
      </c>
      <c r="C81" s="119">
        <f>SUM(C70:C80)</f>
        <v>202762895</v>
      </c>
      <c r="D81" s="119">
        <f>SUM(D70:D80)</f>
        <v>206459605</v>
      </c>
      <c r="E81" s="119">
        <f t="shared" si="9"/>
        <v>3696710</v>
      </c>
      <c r="F81" s="120">
        <f t="shared" si="10"/>
        <v>1.82316887909891E-2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83404342</v>
      </c>
      <c r="D84" s="119">
        <f t="shared" si="11"/>
        <v>88657729</v>
      </c>
      <c r="E84" s="119">
        <f t="shared" ref="E84:E95" si="12">D84-C84</f>
        <v>5253387</v>
      </c>
      <c r="F84" s="120">
        <f t="shared" ref="F84:F95" si="13">IF(C84=0,0,E84/C84)</f>
        <v>6.2986972548743331E-2</v>
      </c>
    </row>
    <row r="85" spans="1:6" ht="15.75" x14ac:dyDescent="0.25">
      <c r="A85" s="130">
        <v>2</v>
      </c>
      <c r="B85" s="122" t="s">
        <v>114</v>
      </c>
      <c r="C85" s="119">
        <f t="shared" si="11"/>
        <v>11640655</v>
      </c>
      <c r="D85" s="119">
        <f t="shared" si="11"/>
        <v>12042975</v>
      </c>
      <c r="E85" s="119">
        <f t="shared" si="12"/>
        <v>402320</v>
      </c>
      <c r="F85" s="120">
        <f t="shared" si="13"/>
        <v>3.4561629049224461E-2</v>
      </c>
    </row>
    <row r="86" spans="1:6" ht="15.75" x14ac:dyDescent="0.25">
      <c r="A86" s="130">
        <v>3</v>
      </c>
      <c r="B86" s="122" t="s">
        <v>115</v>
      </c>
      <c r="C86" s="119">
        <f t="shared" si="11"/>
        <v>8229030</v>
      </c>
      <c r="D86" s="119">
        <f t="shared" si="11"/>
        <v>8767839</v>
      </c>
      <c r="E86" s="119">
        <f t="shared" si="12"/>
        <v>538809</v>
      </c>
      <c r="F86" s="120">
        <f t="shared" si="13"/>
        <v>6.5476611459673859E-2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244723</v>
      </c>
      <c r="D88" s="119">
        <f t="shared" si="11"/>
        <v>166687</v>
      </c>
      <c r="E88" s="119">
        <f t="shared" si="12"/>
        <v>-78036</v>
      </c>
      <c r="F88" s="120">
        <f t="shared" si="13"/>
        <v>-0.31887480947847158</v>
      </c>
    </row>
    <row r="89" spans="1:6" ht="15.75" x14ac:dyDescent="0.25">
      <c r="A89" s="130">
        <v>6</v>
      </c>
      <c r="B89" s="122" t="s">
        <v>118</v>
      </c>
      <c r="C89" s="119">
        <f t="shared" si="11"/>
        <v>92225302</v>
      </c>
      <c r="D89" s="119">
        <f t="shared" si="11"/>
        <v>113227138</v>
      </c>
      <c r="E89" s="119">
        <f t="shared" si="12"/>
        <v>21001836</v>
      </c>
      <c r="F89" s="120">
        <f t="shared" si="13"/>
        <v>0.22772314695158169</v>
      </c>
    </row>
    <row r="90" spans="1:6" ht="15.75" x14ac:dyDescent="0.25">
      <c r="A90" s="130">
        <v>7</v>
      </c>
      <c r="B90" s="122" t="s">
        <v>119</v>
      </c>
      <c r="C90" s="119">
        <f t="shared" si="11"/>
        <v>146970706</v>
      </c>
      <c r="D90" s="119">
        <f t="shared" si="11"/>
        <v>138718920</v>
      </c>
      <c r="E90" s="119">
        <f t="shared" si="12"/>
        <v>-8251786</v>
      </c>
      <c r="F90" s="120">
        <f t="shared" si="13"/>
        <v>-5.6145787310840023E-2</v>
      </c>
    </row>
    <row r="91" spans="1:6" ht="15.75" x14ac:dyDescent="0.25">
      <c r="A91" s="130">
        <v>8</v>
      </c>
      <c r="B91" s="122" t="s">
        <v>120</v>
      </c>
      <c r="C91" s="119">
        <f t="shared" si="11"/>
        <v>2601520</v>
      </c>
      <c r="D91" s="119">
        <f t="shared" si="11"/>
        <v>1739076</v>
      </c>
      <c r="E91" s="119">
        <f t="shared" si="12"/>
        <v>-862444</v>
      </c>
      <c r="F91" s="120">
        <f t="shared" si="13"/>
        <v>-0.33151542175343646</v>
      </c>
    </row>
    <row r="92" spans="1:6" ht="15.75" x14ac:dyDescent="0.25">
      <c r="A92" s="130">
        <v>9</v>
      </c>
      <c r="B92" s="122" t="s">
        <v>121</v>
      </c>
      <c r="C92" s="119">
        <f t="shared" si="11"/>
        <v>4141475</v>
      </c>
      <c r="D92" s="119">
        <f t="shared" si="11"/>
        <v>3429366</v>
      </c>
      <c r="E92" s="119">
        <f t="shared" si="12"/>
        <v>-712109</v>
      </c>
      <c r="F92" s="120">
        <f t="shared" si="13"/>
        <v>-0.17194574396803072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5285222</v>
      </c>
      <c r="D94" s="119">
        <f t="shared" si="11"/>
        <v>5688175</v>
      </c>
      <c r="E94" s="119">
        <f t="shared" si="12"/>
        <v>402953</v>
      </c>
      <c r="F94" s="120">
        <f t="shared" si="13"/>
        <v>7.6241452109296448E-2</v>
      </c>
    </row>
    <row r="95" spans="1:6" ht="18.75" customHeight="1" thickBot="1" x14ac:dyDescent="0.3">
      <c r="A95" s="131"/>
      <c r="B95" s="132" t="s">
        <v>134</v>
      </c>
      <c r="C95" s="128">
        <f>SUM(C84:C94)</f>
        <v>354742975</v>
      </c>
      <c r="D95" s="128">
        <f>SUM(D84:D94)</f>
        <v>372437905</v>
      </c>
      <c r="E95" s="128">
        <f t="shared" si="12"/>
        <v>17694930</v>
      </c>
      <c r="F95" s="129">
        <f t="shared" si="13"/>
        <v>4.9880987777136392E-2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4084</v>
      </c>
      <c r="D100" s="133">
        <v>3736</v>
      </c>
      <c r="E100" s="133">
        <f t="shared" ref="E100:E111" si="14">D100-C100</f>
        <v>-348</v>
      </c>
      <c r="F100" s="114">
        <f t="shared" ref="F100:F111" si="15">IF(C100=0,0,E100/C100)</f>
        <v>-8.5210577864838391E-2</v>
      </c>
    </row>
    <row r="101" spans="1:6" x14ac:dyDescent="0.2">
      <c r="A101" s="115">
        <v>2</v>
      </c>
      <c r="B101" s="116" t="s">
        <v>114</v>
      </c>
      <c r="C101" s="133">
        <v>629</v>
      </c>
      <c r="D101" s="133">
        <v>594</v>
      </c>
      <c r="E101" s="133">
        <f t="shared" si="14"/>
        <v>-35</v>
      </c>
      <c r="F101" s="114">
        <f t="shared" si="15"/>
        <v>-5.5643879173290937E-2</v>
      </c>
    </row>
    <row r="102" spans="1:6" x14ac:dyDescent="0.2">
      <c r="A102" s="115">
        <v>3</v>
      </c>
      <c r="B102" s="116" t="s">
        <v>115</v>
      </c>
      <c r="C102" s="133">
        <v>470</v>
      </c>
      <c r="D102" s="133">
        <v>515</v>
      </c>
      <c r="E102" s="133">
        <f t="shared" si="14"/>
        <v>45</v>
      </c>
      <c r="F102" s="114">
        <f t="shared" si="15"/>
        <v>9.5744680851063829E-2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16</v>
      </c>
      <c r="D104" s="133">
        <v>12</v>
      </c>
      <c r="E104" s="133">
        <f t="shared" si="14"/>
        <v>-4</v>
      </c>
      <c r="F104" s="114">
        <f t="shared" si="15"/>
        <v>-0.25</v>
      </c>
    </row>
    <row r="105" spans="1:6" x14ac:dyDescent="0.2">
      <c r="A105" s="115">
        <v>6</v>
      </c>
      <c r="B105" s="116" t="s">
        <v>118</v>
      </c>
      <c r="C105" s="133">
        <v>2994</v>
      </c>
      <c r="D105" s="133">
        <v>3234</v>
      </c>
      <c r="E105" s="133">
        <f t="shared" si="14"/>
        <v>240</v>
      </c>
      <c r="F105" s="114">
        <f t="shared" si="15"/>
        <v>8.0160320641282562E-2</v>
      </c>
    </row>
    <row r="106" spans="1:6" x14ac:dyDescent="0.2">
      <c r="A106" s="115">
        <v>7</v>
      </c>
      <c r="B106" s="116" t="s">
        <v>119</v>
      </c>
      <c r="C106" s="133">
        <v>4385</v>
      </c>
      <c r="D106" s="133">
        <v>4270</v>
      </c>
      <c r="E106" s="133">
        <f t="shared" si="14"/>
        <v>-115</v>
      </c>
      <c r="F106" s="114">
        <f t="shared" si="15"/>
        <v>-2.6225769669327253E-2</v>
      </c>
    </row>
    <row r="107" spans="1:6" x14ac:dyDescent="0.2">
      <c r="A107" s="115">
        <v>8</v>
      </c>
      <c r="B107" s="116" t="s">
        <v>120</v>
      </c>
      <c r="C107" s="133">
        <v>41</v>
      </c>
      <c r="D107" s="133">
        <v>32</v>
      </c>
      <c r="E107" s="133">
        <f t="shared" si="14"/>
        <v>-9</v>
      </c>
      <c r="F107" s="114">
        <f t="shared" si="15"/>
        <v>-0.21951219512195122</v>
      </c>
    </row>
    <row r="108" spans="1:6" x14ac:dyDescent="0.2">
      <c r="A108" s="115">
        <v>9</v>
      </c>
      <c r="B108" s="116" t="s">
        <v>121</v>
      </c>
      <c r="C108" s="133">
        <v>234</v>
      </c>
      <c r="D108" s="133">
        <v>246</v>
      </c>
      <c r="E108" s="133">
        <f t="shared" si="14"/>
        <v>12</v>
      </c>
      <c r="F108" s="114">
        <f t="shared" si="15"/>
        <v>5.128205128205128E-2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443</v>
      </c>
      <c r="D110" s="133">
        <v>438</v>
      </c>
      <c r="E110" s="133">
        <f t="shared" si="14"/>
        <v>-5</v>
      </c>
      <c r="F110" s="114">
        <f t="shared" si="15"/>
        <v>-1.1286681715575621E-2</v>
      </c>
    </row>
    <row r="111" spans="1:6" ht="15.75" x14ac:dyDescent="0.25">
      <c r="A111" s="117"/>
      <c r="B111" s="118" t="s">
        <v>138</v>
      </c>
      <c r="C111" s="134">
        <f>SUM(C100:C110)</f>
        <v>13296</v>
      </c>
      <c r="D111" s="134">
        <f>SUM(D100:D110)</f>
        <v>13077</v>
      </c>
      <c r="E111" s="134">
        <f t="shared" si="14"/>
        <v>-219</v>
      </c>
      <c r="F111" s="120">
        <f t="shared" si="15"/>
        <v>-1.6471119133574009E-2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21860</v>
      </c>
      <c r="D113" s="133">
        <v>22094</v>
      </c>
      <c r="E113" s="133">
        <f t="shared" ref="E113:E124" si="16">D113-C113</f>
        <v>234</v>
      </c>
      <c r="F113" s="114">
        <f t="shared" ref="F113:F124" si="17">IF(C113=0,0,E113/C113)</f>
        <v>1.070448307410796E-2</v>
      </c>
    </row>
    <row r="114" spans="1:6" x14ac:dyDescent="0.2">
      <c r="A114" s="115">
        <v>2</v>
      </c>
      <c r="B114" s="116" t="s">
        <v>114</v>
      </c>
      <c r="C114" s="133">
        <v>3457</v>
      </c>
      <c r="D114" s="133">
        <v>3732</v>
      </c>
      <c r="E114" s="133">
        <f t="shared" si="16"/>
        <v>275</v>
      </c>
      <c r="F114" s="114">
        <f t="shared" si="17"/>
        <v>7.9548741683540647E-2</v>
      </c>
    </row>
    <row r="115" spans="1:6" x14ac:dyDescent="0.2">
      <c r="A115" s="115">
        <v>3</v>
      </c>
      <c r="B115" s="116" t="s">
        <v>115</v>
      </c>
      <c r="C115" s="133">
        <v>1861</v>
      </c>
      <c r="D115" s="133">
        <v>2053</v>
      </c>
      <c r="E115" s="133">
        <f t="shared" si="16"/>
        <v>192</v>
      </c>
      <c r="F115" s="114">
        <f t="shared" si="17"/>
        <v>0.10317033852767329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66</v>
      </c>
      <c r="D117" s="133">
        <v>51</v>
      </c>
      <c r="E117" s="133">
        <f t="shared" si="16"/>
        <v>-15</v>
      </c>
      <c r="F117" s="114">
        <f t="shared" si="17"/>
        <v>-0.22727272727272727</v>
      </c>
    </row>
    <row r="118" spans="1:6" x14ac:dyDescent="0.2">
      <c r="A118" s="115">
        <v>6</v>
      </c>
      <c r="B118" s="116" t="s">
        <v>118</v>
      </c>
      <c r="C118" s="133">
        <v>9594</v>
      </c>
      <c r="D118" s="133">
        <v>10717</v>
      </c>
      <c r="E118" s="133">
        <f t="shared" si="16"/>
        <v>1123</v>
      </c>
      <c r="F118" s="114">
        <f t="shared" si="17"/>
        <v>0.11705232436939754</v>
      </c>
    </row>
    <row r="119" spans="1:6" x14ac:dyDescent="0.2">
      <c r="A119" s="115">
        <v>7</v>
      </c>
      <c r="B119" s="116" t="s">
        <v>119</v>
      </c>
      <c r="C119" s="133">
        <v>14484</v>
      </c>
      <c r="D119" s="133">
        <v>13586</v>
      </c>
      <c r="E119" s="133">
        <f t="shared" si="16"/>
        <v>-898</v>
      </c>
      <c r="F119" s="114">
        <f t="shared" si="17"/>
        <v>-6.1999447666390498E-2</v>
      </c>
    </row>
    <row r="120" spans="1:6" x14ac:dyDescent="0.2">
      <c r="A120" s="115">
        <v>8</v>
      </c>
      <c r="B120" s="116" t="s">
        <v>120</v>
      </c>
      <c r="C120" s="133">
        <v>195</v>
      </c>
      <c r="D120" s="133">
        <v>147</v>
      </c>
      <c r="E120" s="133">
        <f t="shared" si="16"/>
        <v>-48</v>
      </c>
      <c r="F120" s="114">
        <f t="shared" si="17"/>
        <v>-0.24615384615384617</v>
      </c>
    </row>
    <row r="121" spans="1:6" x14ac:dyDescent="0.2">
      <c r="A121" s="115">
        <v>9</v>
      </c>
      <c r="B121" s="116" t="s">
        <v>121</v>
      </c>
      <c r="C121" s="133">
        <v>716</v>
      </c>
      <c r="D121" s="133">
        <v>749</v>
      </c>
      <c r="E121" s="133">
        <f t="shared" si="16"/>
        <v>33</v>
      </c>
      <c r="F121" s="114">
        <f t="shared" si="17"/>
        <v>4.6089385474860335E-2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1607</v>
      </c>
      <c r="D123" s="133">
        <v>1698</v>
      </c>
      <c r="E123" s="133">
        <f t="shared" si="16"/>
        <v>91</v>
      </c>
      <c r="F123" s="114">
        <f t="shared" si="17"/>
        <v>5.6627255756067203E-2</v>
      </c>
    </row>
    <row r="124" spans="1:6" ht="15.75" x14ac:dyDescent="0.25">
      <c r="A124" s="117"/>
      <c r="B124" s="118" t="s">
        <v>140</v>
      </c>
      <c r="C124" s="134">
        <f>SUM(C113:C123)</f>
        <v>53840</v>
      </c>
      <c r="D124" s="134">
        <f>SUM(D113:D123)</f>
        <v>54827</v>
      </c>
      <c r="E124" s="134">
        <f t="shared" si="16"/>
        <v>987</v>
      </c>
      <c r="F124" s="120">
        <f t="shared" si="17"/>
        <v>1.8332095096582467E-2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75852</v>
      </c>
      <c r="D126" s="133">
        <v>77332</v>
      </c>
      <c r="E126" s="133">
        <f t="shared" ref="E126:E137" si="18">D126-C126</f>
        <v>1480</v>
      </c>
      <c r="F126" s="114">
        <f t="shared" ref="F126:F137" si="19">IF(C126=0,0,E126/C126)</f>
        <v>1.9511680641248749E-2</v>
      </c>
    </row>
    <row r="127" spans="1:6" x14ac:dyDescent="0.2">
      <c r="A127" s="115">
        <v>2</v>
      </c>
      <c r="B127" s="116" t="s">
        <v>114</v>
      </c>
      <c r="C127" s="133">
        <v>10058</v>
      </c>
      <c r="D127" s="133">
        <v>8829</v>
      </c>
      <c r="E127" s="133">
        <f t="shared" si="18"/>
        <v>-1229</v>
      </c>
      <c r="F127" s="114">
        <f t="shared" si="19"/>
        <v>-0.12219129051501293</v>
      </c>
    </row>
    <row r="128" spans="1:6" x14ac:dyDescent="0.2">
      <c r="A128" s="115">
        <v>3</v>
      </c>
      <c r="B128" s="116" t="s">
        <v>115</v>
      </c>
      <c r="C128" s="133">
        <v>21513</v>
      </c>
      <c r="D128" s="133">
        <v>21426</v>
      </c>
      <c r="E128" s="133">
        <f t="shared" si="18"/>
        <v>-87</v>
      </c>
      <c r="F128" s="114">
        <f t="shared" si="19"/>
        <v>-4.0440663784688325E-3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159</v>
      </c>
      <c r="D130" s="133">
        <v>235</v>
      </c>
      <c r="E130" s="133">
        <f t="shared" si="18"/>
        <v>76</v>
      </c>
      <c r="F130" s="114">
        <f t="shared" si="19"/>
        <v>0.4779874213836478</v>
      </c>
    </row>
    <row r="131" spans="1:6" x14ac:dyDescent="0.2">
      <c r="A131" s="115">
        <v>6</v>
      </c>
      <c r="B131" s="116" t="s">
        <v>118</v>
      </c>
      <c r="C131" s="133">
        <v>56986</v>
      </c>
      <c r="D131" s="133">
        <v>52318</v>
      </c>
      <c r="E131" s="133">
        <f t="shared" si="18"/>
        <v>-4668</v>
      </c>
      <c r="F131" s="114">
        <f t="shared" si="19"/>
        <v>-8.1914856280489945E-2</v>
      </c>
    </row>
    <row r="132" spans="1:6" x14ac:dyDescent="0.2">
      <c r="A132" s="115">
        <v>7</v>
      </c>
      <c r="B132" s="116" t="s">
        <v>119</v>
      </c>
      <c r="C132" s="133">
        <v>102019</v>
      </c>
      <c r="D132" s="133">
        <v>102098</v>
      </c>
      <c r="E132" s="133">
        <f t="shared" si="18"/>
        <v>79</v>
      </c>
      <c r="F132" s="114">
        <f t="shared" si="19"/>
        <v>7.743655593565904E-4</v>
      </c>
    </row>
    <row r="133" spans="1:6" x14ac:dyDescent="0.2">
      <c r="A133" s="115">
        <v>8</v>
      </c>
      <c r="B133" s="116" t="s">
        <v>120</v>
      </c>
      <c r="C133" s="133">
        <v>1252</v>
      </c>
      <c r="D133" s="133">
        <v>1108</v>
      </c>
      <c r="E133" s="133">
        <f t="shared" si="18"/>
        <v>-144</v>
      </c>
      <c r="F133" s="114">
        <f t="shared" si="19"/>
        <v>-0.11501597444089456</v>
      </c>
    </row>
    <row r="134" spans="1:6" x14ac:dyDescent="0.2">
      <c r="A134" s="115">
        <v>9</v>
      </c>
      <c r="B134" s="116" t="s">
        <v>121</v>
      </c>
      <c r="C134" s="133">
        <v>12419</v>
      </c>
      <c r="D134" s="133">
        <v>12601</v>
      </c>
      <c r="E134" s="133">
        <f t="shared" si="18"/>
        <v>182</v>
      </c>
      <c r="F134" s="114">
        <f t="shared" si="19"/>
        <v>1.4654964167807392E-2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4876</v>
      </c>
      <c r="D136" s="133">
        <v>4320</v>
      </c>
      <c r="E136" s="133">
        <f t="shared" si="18"/>
        <v>-556</v>
      </c>
      <c r="F136" s="114">
        <f t="shared" si="19"/>
        <v>-0.1140278917145201</v>
      </c>
    </row>
    <row r="137" spans="1:6" ht="15.75" x14ac:dyDescent="0.25">
      <c r="A137" s="117"/>
      <c r="B137" s="118" t="s">
        <v>142</v>
      </c>
      <c r="C137" s="134">
        <f>SUM(C126:C136)</f>
        <v>285134</v>
      </c>
      <c r="D137" s="134">
        <f>SUM(D126:D136)</f>
        <v>280267</v>
      </c>
      <c r="E137" s="134">
        <f t="shared" si="18"/>
        <v>-4867</v>
      </c>
      <c r="F137" s="120">
        <f t="shared" si="19"/>
        <v>-1.7069167479150153E-2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26019616</v>
      </c>
      <c r="D142" s="113">
        <v>25596249</v>
      </c>
      <c r="E142" s="113">
        <f t="shared" ref="E142:E153" si="20">D142-C142</f>
        <v>-423367</v>
      </c>
      <c r="F142" s="114">
        <f t="shared" ref="F142:F153" si="21">IF(C142=0,0,E142/C142)</f>
        <v>-1.6271070257147531E-2</v>
      </c>
    </row>
    <row r="143" spans="1:6" x14ac:dyDescent="0.2">
      <c r="A143" s="115">
        <v>2</v>
      </c>
      <c r="B143" s="116" t="s">
        <v>114</v>
      </c>
      <c r="C143" s="113">
        <v>4576884</v>
      </c>
      <c r="D143" s="113">
        <v>4198286</v>
      </c>
      <c r="E143" s="113">
        <f t="shared" si="20"/>
        <v>-378598</v>
      </c>
      <c r="F143" s="114">
        <f t="shared" si="21"/>
        <v>-8.2719597000929013E-2</v>
      </c>
    </row>
    <row r="144" spans="1:6" x14ac:dyDescent="0.2">
      <c r="A144" s="115">
        <v>3</v>
      </c>
      <c r="B144" s="116" t="s">
        <v>115</v>
      </c>
      <c r="C144" s="113">
        <v>13977338</v>
      </c>
      <c r="D144" s="113">
        <v>13732567</v>
      </c>
      <c r="E144" s="113">
        <f t="shared" si="20"/>
        <v>-244771</v>
      </c>
      <c r="F144" s="114">
        <f t="shared" si="21"/>
        <v>-1.7511989765146983E-2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233727</v>
      </c>
      <c r="D146" s="113">
        <v>246645</v>
      </c>
      <c r="E146" s="113">
        <f t="shared" si="20"/>
        <v>12918</v>
      </c>
      <c r="F146" s="114">
        <f t="shared" si="21"/>
        <v>5.5269609416113669E-2</v>
      </c>
    </row>
    <row r="147" spans="1:6" x14ac:dyDescent="0.2">
      <c r="A147" s="115">
        <v>6</v>
      </c>
      <c r="B147" s="116" t="s">
        <v>118</v>
      </c>
      <c r="C147" s="113">
        <v>29211782</v>
      </c>
      <c r="D147" s="113">
        <v>28992904</v>
      </c>
      <c r="E147" s="113">
        <f t="shared" si="20"/>
        <v>-218878</v>
      </c>
      <c r="F147" s="114">
        <f t="shared" si="21"/>
        <v>-7.4927986248836172E-3</v>
      </c>
    </row>
    <row r="148" spans="1:6" x14ac:dyDescent="0.2">
      <c r="A148" s="115">
        <v>7</v>
      </c>
      <c r="B148" s="116" t="s">
        <v>119</v>
      </c>
      <c r="C148" s="113">
        <v>40351316</v>
      </c>
      <c r="D148" s="113">
        <v>39643106</v>
      </c>
      <c r="E148" s="113">
        <f t="shared" si="20"/>
        <v>-708210</v>
      </c>
      <c r="F148" s="114">
        <f t="shared" si="21"/>
        <v>-1.7551100439946E-2</v>
      </c>
    </row>
    <row r="149" spans="1:6" x14ac:dyDescent="0.2">
      <c r="A149" s="115">
        <v>8</v>
      </c>
      <c r="B149" s="116" t="s">
        <v>120</v>
      </c>
      <c r="C149" s="113">
        <v>1824978</v>
      </c>
      <c r="D149" s="113">
        <v>1725119</v>
      </c>
      <c r="E149" s="113">
        <f t="shared" si="20"/>
        <v>-99859</v>
      </c>
      <c r="F149" s="114">
        <f t="shared" si="21"/>
        <v>-5.4717919887253434E-2</v>
      </c>
    </row>
    <row r="150" spans="1:6" x14ac:dyDescent="0.2">
      <c r="A150" s="115">
        <v>9</v>
      </c>
      <c r="B150" s="116" t="s">
        <v>121</v>
      </c>
      <c r="C150" s="113">
        <v>12456659</v>
      </c>
      <c r="D150" s="113">
        <v>11760813</v>
      </c>
      <c r="E150" s="113">
        <f t="shared" si="20"/>
        <v>-695846</v>
      </c>
      <c r="F150" s="114">
        <f t="shared" si="21"/>
        <v>-5.5861367000573751E-2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14806572</v>
      </c>
      <c r="D152" s="113">
        <v>15240418</v>
      </c>
      <c r="E152" s="113">
        <f t="shared" si="20"/>
        <v>433846</v>
      </c>
      <c r="F152" s="114">
        <f t="shared" si="21"/>
        <v>2.9300907732053037E-2</v>
      </c>
    </row>
    <row r="153" spans="1:6" ht="33.75" customHeight="1" x14ac:dyDescent="0.25">
      <c r="A153" s="117"/>
      <c r="B153" s="118" t="s">
        <v>146</v>
      </c>
      <c r="C153" s="119">
        <f>SUM(C142:C152)</f>
        <v>143458872</v>
      </c>
      <c r="D153" s="119">
        <f>SUM(D142:D152)</f>
        <v>141136107</v>
      </c>
      <c r="E153" s="119">
        <f t="shared" si="20"/>
        <v>-2322765</v>
      </c>
      <c r="F153" s="120">
        <f t="shared" si="21"/>
        <v>-1.6191156166347104E-2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4698912</v>
      </c>
      <c r="D155" s="113">
        <v>4346074</v>
      </c>
      <c r="E155" s="113">
        <f t="shared" ref="E155:E166" si="22">D155-C155</f>
        <v>-352838</v>
      </c>
      <c r="F155" s="114">
        <f t="shared" ref="F155:F166" si="23">IF(C155=0,0,E155/C155)</f>
        <v>-7.508929726711204E-2</v>
      </c>
    </row>
    <row r="156" spans="1:6" x14ac:dyDescent="0.2">
      <c r="A156" s="115">
        <v>2</v>
      </c>
      <c r="B156" s="116" t="s">
        <v>114</v>
      </c>
      <c r="C156" s="113">
        <v>811835</v>
      </c>
      <c r="D156" s="113">
        <v>777539</v>
      </c>
      <c r="E156" s="113">
        <f t="shared" si="22"/>
        <v>-34296</v>
      </c>
      <c r="F156" s="114">
        <f t="shared" si="23"/>
        <v>-4.2245037476827188E-2</v>
      </c>
    </row>
    <row r="157" spans="1:6" x14ac:dyDescent="0.2">
      <c r="A157" s="115">
        <v>3</v>
      </c>
      <c r="B157" s="116" t="s">
        <v>115</v>
      </c>
      <c r="C157" s="113">
        <v>2193812</v>
      </c>
      <c r="D157" s="113">
        <v>2432271</v>
      </c>
      <c r="E157" s="113">
        <f t="shared" si="22"/>
        <v>238459</v>
      </c>
      <c r="F157" s="114">
        <f t="shared" si="23"/>
        <v>0.10869618727584679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55522</v>
      </c>
      <c r="D159" s="113">
        <v>49370</v>
      </c>
      <c r="E159" s="113">
        <f t="shared" si="22"/>
        <v>-6152</v>
      </c>
      <c r="F159" s="114">
        <f t="shared" si="23"/>
        <v>-0.11080292496667987</v>
      </c>
    </row>
    <row r="160" spans="1:6" x14ac:dyDescent="0.2">
      <c r="A160" s="115">
        <v>6</v>
      </c>
      <c r="B160" s="116" t="s">
        <v>118</v>
      </c>
      <c r="C160" s="113">
        <v>15055140</v>
      </c>
      <c r="D160" s="113">
        <v>14992085</v>
      </c>
      <c r="E160" s="113">
        <f t="shared" si="22"/>
        <v>-63055</v>
      </c>
      <c r="F160" s="114">
        <f t="shared" si="23"/>
        <v>-4.1882705839998832E-3</v>
      </c>
    </row>
    <row r="161" spans="1:6" x14ac:dyDescent="0.2">
      <c r="A161" s="115">
        <v>7</v>
      </c>
      <c r="B161" s="116" t="s">
        <v>119</v>
      </c>
      <c r="C161" s="113">
        <v>16431122</v>
      </c>
      <c r="D161" s="113">
        <v>16166919</v>
      </c>
      <c r="E161" s="113">
        <f t="shared" si="22"/>
        <v>-264203</v>
      </c>
      <c r="F161" s="114">
        <f t="shared" si="23"/>
        <v>-1.6079425373385945E-2</v>
      </c>
    </row>
    <row r="162" spans="1:6" x14ac:dyDescent="0.2">
      <c r="A162" s="115">
        <v>8</v>
      </c>
      <c r="B162" s="116" t="s">
        <v>120</v>
      </c>
      <c r="C162" s="113">
        <v>770437</v>
      </c>
      <c r="D162" s="113">
        <v>673160</v>
      </c>
      <c r="E162" s="113">
        <f t="shared" si="22"/>
        <v>-97277</v>
      </c>
      <c r="F162" s="114">
        <f t="shared" si="23"/>
        <v>-0.12626210838783702</v>
      </c>
    </row>
    <row r="163" spans="1:6" x14ac:dyDescent="0.2">
      <c r="A163" s="115">
        <v>9</v>
      </c>
      <c r="B163" s="116" t="s">
        <v>121</v>
      </c>
      <c r="C163" s="113">
        <v>31123</v>
      </c>
      <c r="D163" s="113">
        <v>5440</v>
      </c>
      <c r="E163" s="113">
        <f t="shared" si="22"/>
        <v>-25683</v>
      </c>
      <c r="F163" s="114">
        <f t="shared" si="23"/>
        <v>-0.82520965202583296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2619478</v>
      </c>
      <c r="D165" s="113">
        <v>2402970</v>
      </c>
      <c r="E165" s="113">
        <f t="shared" si="22"/>
        <v>-216508</v>
      </c>
      <c r="F165" s="114">
        <f t="shared" si="23"/>
        <v>-8.2653108749147733E-2</v>
      </c>
    </row>
    <row r="166" spans="1:6" ht="33.75" customHeight="1" x14ac:dyDescent="0.25">
      <c r="A166" s="117"/>
      <c r="B166" s="118" t="s">
        <v>148</v>
      </c>
      <c r="C166" s="119">
        <f>SUM(C155:C165)</f>
        <v>42667381</v>
      </c>
      <c r="D166" s="119">
        <f>SUM(D155:D165)</f>
        <v>41845828</v>
      </c>
      <c r="E166" s="119">
        <f t="shared" si="22"/>
        <v>-821553</v>
      </c>
      <c r="F166" s="120">
        <f t="shared" si="23"/>
        <v>-1.9254826069591661E-2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4746</v>
      </c>
      <c r="D168" s="133">
        <v>4488</v>
      </c>
      <c r="E168" s="133">
        <f t="shared" ref="E168:E179" si="24">D168-C168</f>
        <v>-258</v>
      </c>
      <c r="F168" s="114">
        <f t="shared" ref="F168:F179" si="25">IF(C168=0,0,E168/C168)</f>
        <v>-5.4361567635903919E-2</v>
      </c>
    </row>
    <row r="169" spans="1:6" x14ac:dyDescent="0.2">
      <c r="A169" s="115">
        <v>2</v>
      </c>
      <c r="B169" s="116" t="s">
        <v>114</v>
      </c>
      <c r="C169" s="133">
        <v>802</v>
      </c>
      <c r="D169" s="133">
        <v>764</v>
      </c>
      <c r="E169" s="133">
        <f t="shared" si="24"/>
        <v>-38</v>
      </c>
      <c r="F169" s="114">
        <f t="shared" si="25"/>
        <v>-4.738154613466334E-2</v>
      </c>
    </row>
    <row r="170" spans="1:6" x14ac:dyDescent="0.2">
      <c r="A170" s="115">
        <v>3</v>
      </c>
      <c r="B170" s="116" t="s">
        <v>115</v>
      </c>
      <c r="C170" s="133">
        <v>3520</v>
      </c>
      <c r="D170" s="133">
        <v>3409</v>
      </c>
      <c r="E170" s="133">
        <f t="shared" si="24"/>
        <v>-111</v>
      </c>
      <c r="F170" s="114">
        <f t="shared" si="25"/>
        <v>-3.1534090909090907E-2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54</v>
      </c>
      <c r="D172" s="133">
        <v>65</v>
      </c>
      <c r="E172" s="133">
        <f t="shared" si="24"/>
        <v>11</v>
      </c>
      <c r="F172" s="114">
        <f t="shared" si="25"/>
        <v>0.20370370370370369</v>
      </c>
    </row>
    <row r="173" spans="1:6" x14ac:dyDescent="0.2">
      <c r="A173" s="115">
        <v>6</v>
      </c>
      <c r="B173" s="116" t="s">
        <v>118</v>
      </c>
      <c r="C173" s="133">
        <v>6129</v>
      </c>
      <c r="D173" s="133">
        <v>5817</v>
      </c>
      <c r="E173" s="133">
        <f t="shared" si="24"/>
        <v>-312</v>
      </c>
      <c r="F173" s="114">
        <f t="shared" si="25"/>
        <v>-5.0905531081742533E-2</v>
      </c>
    </row>
    <row r="174" spans="1:6" x14ac:dyDescent="0.2">
      <c r="A174" s="115">
        <v>7</v>
      </c>
      <c r="B174" s="116" t="s">
        <v>119</v>
      </c>
      <c r="C174" s="133">
        <v>8998</v>
      </c>
      <c r="D174" s="133">
        <v>8817</v>
      </c>
      <c r="E174" s="133">
        <f t="shared" si="24"/>
        <v>-181</v>
      </c>
      <c r="F174" s="114">
        <f t="shared" si="25"/>
        <v>-2.0115581240275616E-2</v>
      </c>
    </row>
    <row r="175" spans="1:6" x14ac:dyDescent="0.2">
      <c r="A175" s="115">
        <v>8</v>
      </c>
      <c r="B175" s="116" t="s">
        <v>120</v>
      </c>
      <c r="C175" s="133">
        <v>490</v>
      </c>
      <c r="D175" s="133">
        <v>460</v>
      </c>
      <c r="E175" s="133">
        <f t="shared" si="24"/>
        <v>-30</v>
      </c>
      <c r="F175" s="114">
        <f t="shared" si="25"/>
        <v>-6.1224489795918366E-2</v>
      </c>
    </row>
    <row r="176" spans="1:6" x14ac:dyDescent="0.2">
      <c r="A176" s="115">
        <v>9</v>
      </c>
      <c r="B176" s="116" t="s">
        <v>121</v>
      </c>
      <c r="C176" s="133">
        <v>2859</v>
      </c>
      <c r="D176" s="133">
        <v>2742</v>
      </c>
      <c r="E176" s="133">
        <f t="shared" si="24"/>
        <v>-117</v>
      </c>
      <c r="F176" s="114">
        <f t="shared" si="25"/>
        <v>-4.0923399790136414E-2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3802</v>
      </c>
      <c r="D178" s="133">
        <v>3733</v>
      </c>
      <c r="E178" s="133">
        <f t="shared" si="24"/>
        <v>-69</v>
      </c>
      <c r="F178" s="114">
        <f t="shared" si="25"/>
        <v>-1.8148342977380327E-2</v>
      </c>
    </row>
    <row r="179" spans="1:6" ht="33.75" customHeight="1" x14ac:dyDescent="0.25">
      <c r="A179" s="117"/>
      <c r="B179" s="118" t="s">
        <v>150</v>
      </c>
      <c r="C179" s="134">
        <f>SUM(C168:C178)</f>
        <v>31400</v>
      </c>
      <c r="D179" s="134">
        <f>SUM(D168:D178)</f>
        <v>30295</v>
      </c>
      <c r="E179" s="134">
        <f t="shared" si="24"/>
        <v>-1105</v>
      </c>
      <c r="F179" s="120">
        <f t="shared" si="25"/>
        <v>-3.519108280254777E-2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FILING&amp;RGREENWICH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33844899</v>
      </c>
      <c r="D15" s="157">
        <v>37843295</v>
      </c>
      <c r="E15" s="157">
        <f>+D15-C15</f>
        <v>3998396</v>
      </c>
      <c r="F15" s="161">
        <f>IF(C15=0,0,E15/C15)</f>
        <v>0.11813880726900677</v>
      </c>
    </row>
    <row r="16" spans="1:6" ht="15" customHeight="1" x14ac:dyDescent="0.2">
      <c r="A16" s="147">
        <v>2</v>
      </c>
      <c r="B16" s="160" t="s">
        <v>157</v>
      </c>
      <c r="C16" s="157">
        <v>9115648</v>
      </c>
      <c r="D16" s="157">
        <v>10099530</v>
      </c>
      <c r="E16" s="157">
        <f>+D16-C16</f>
        <v>983882</v>
      </c>
      <c r="F16" s="161">
        <f>IF(C16=0,0,E16/C16)</f>
        <v>0.10793330326050325</v>
      </c>
    </row>
    <row r="17" spans="1:6" ht="15" customHeight="1" x14ac:dyDescent="0.2">
      <c r="A17" s="147">
        <v>3</v>
      </c>
      <c r="B17" s="160" t="s">
        <v>158</v>
      </c>
      <c r="C17" s="157">
        <v>73765140</v>
      </c>
      <c r="D17" s="157">
        <v>71036464</v>
      </c>
      <c r="E17" s="157">
        <f>+D17-C17</f>
        <v>-2728676</v>
      </c>
      <c r="F17" s="161">
        <f>IF(C17=0,0,E17/C17)</f>
        <v>-3.6991402714073342E-2</v>
      </c>
    </row>
    <row r="18" spans="1:6" ht="15.75" customHeight="1" x14ac:dyDescent="0.25">
      <c r="A18" s="147"/>
      <c r="B18" s="162" t="s">
        <v>159</v>
      </c>
      <c r="C18" s="158">
        <f>SUM(C15:C17)</f>
        <v>116725687</v>
      </c>
      <c r="D18" s="158">
        <f>SUM(D15:D17)</f>
        <v>118979289</v>
      </c>
      <c r="E18" s="158">
        <f>+D18-C18</f>
        <v>2253602</v>
      </c>
      <c r="F18" s="159">
        <f>IF(C18=0,0,E18/C18)</f>
        <v>1.9306821471095734E-2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10584076</v>
      </c>
      <c r="D21" s="157">
        <v>9365981</v>
      </c>
      <c r="E21" s="157">
        <f>+D21-C21</f>
        <v>-1218095</v>
      </c>
      <c r="F21" s="161">
        <f>IF(C21=0,0,E21/C21)</f>
        <v>-0.11508751448874706</v>
      </c>
    </row>
    <row r="22" spans="1:6" ht="15" customHeight="1" x14ac:dyDescent="0.2">
      <c r="A22" s="147">
        <v>2</v>
      </c>
      <c r="B22" s="160" t="s">
        <v>162</v>
      </c>
      <c r="C22" s="157">
        <v>2850672</v>
      </c>
      <c r="D22" s="157">
        <v>2499571</v>
      </c>
      <c r="E22" s="157">
        <f>+D22-C22</f>
        <v>-351101</v>
      </c>
      <c r="F22" s="161">
        <f>IF(C22=0,0,E22/C22)</f>
        <v>-0.12316429248963051</v>
      </c>
    </row>
    <row r="23" spans="1:6" ht="15" customHeight="1" x14ac:dyDescent="0.2">
      <c r="A23" s="147">
        <v>3</v>
      </c>
      <c r="B23" s="160" t="s">
        <v>163</v>
      </c>
      <c r="C23" s="157">
        <v>23068051</v>
      </c>
      <c r="D23" s="157">
        <v>17581086</v>
      </c>
      <c r="E23" s="157">
        <f>+D23-C23</f>
        <v>-5486965</v>
      </c>
      <c r="F23" s="161">
        <f>IF(C23=0,0,E23/C23)</f>
        <v>-0.23785993016921975</v>
      </c>
    </row>
    <row r="24" spans="1:6" ht="15.75" customHeight="1" x14ac:dyDescent="0.25">
      <c r="A24" s="147"/>
      <c r="B24" s="162" t="s">
        <v>164</v>
      </c>
      <c r="C24" s="158">
        <f>SUM(C21:C23)</f>
        <v>36502799</v>
      </c>
      <c r="D24" s="158">
        <f>SUM(D21:D23)</f>
        <v>29446638</v>
      </c>
      <c r="E24" s="158">
        <f>+D24-C24</f>
        <v>-7056161</v>
      </c>
      <c r="F24" s="159">
        <f>IF(C24=0,0,E24/C24)</f>
        <v>-0.19330465589775733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1016744</v>
      </c>
      <c r="D27" s="157">
        <v>1975549</v>
      </c>
      <c r="E27" s="157">
        <f>+D27-C27</f>
        <v>958805</v>
      </c>
      <c r="F27" s="161">
        <f>IF(C27=0,0,E27/C27)</f>
        <v>0.94301515425711879</v>
      </c>
    </row>
    <row r="28" spans="1:6" ht="15" customHeight="1" x14ac:dyDescent="0.2">
      <c r="A28" s="147">
        <v>2</v>
      </c>
      <c r="B28" s="160" t="s">
        <v>167</v>
      </c>
      <c r="C28" s="157">
        <v>10436943</v>
      </c>
      <c r="D28" s="157">
        <v>12709543</v>
      </c>
      <c r="E28" s="157">
        <f>+D28-C28</f>
        <v>2272600</v>
      </c>
      <c r="F28" s="161">
        <f>IF(C28=0,0,E28/C28)</f>
        <v>0.21774575179724562</v>
      </c>
    </row>
    <row r="29" spans="1:6" ht="15" customHeight="1" x14ac:dyDescent="0.2">
      <c r="A29" s="147">
        <v>3</v>
      </c>
      <c r="B29" s="160" t="s">
        <v>168</v>
      </c>
      <c r="C29" s="157">
        <v>293819</v>
      </c>
      <c r="D29" s="157">
        <v>541115</v>
      </c>
      <c r="E29" s="157">
        <f>+D29-C29</f>
        <v>247296</v>
      </c>
      <c r="F29" s="161">
        <f>IF(C29=0,0,E29/C29)</f>
        <v>0.84166102260235043</v>
      </c>
    </row>
    <row r="30" spans="1:6" ht="15.75" customHeight="1" x14ac:dyDescent="0.25">
      <c r="A30" s="147"/>
      <c r="B30" s="162" t="s">
        <v>169</v>
      </c>
      <c r="C30" s="158">
        <f>SUM(C27:C29)</f>
        <v>11747506</v>
      </c>
      <c r="D30" s="158">
        <f>SUM(D27:D29)</f>
        <v>15226207</v>
      </c>
      <c r="E30" s="158">
        <f>+D30-C30</f>
        <v>3478701</v>
      </c>
      <c r="F30" s="159">
        <f>IF(C30=0,0,E30/C30)</f>
        <v>0.29612251315300459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25212411</v>
      </c>
      <c r="D33" s="157">
        <v>27388014</v>
      </c>
      <c r="E33" s="157">
        <f>+D33-C33</f>
        <v>2175603</v>
      </c>
      <c r="F33" s="161">
        <f>IF(C33=0,0,E33/C33)</f>
        <v>8.6290954086064992E-2</v>
      </c>
    </row>
    <row r="34" spans="1:6" ht="15" customHeight="1" x14ac:dyDescent="0.2">
      <c r="A34" s="147">
        <v>2</v>
      </c>
      <c r="B34" s="160" t="s">
        <v>173</v>
      </c>
      <c r="C34" s="157">
        <v>25982689</v>
      </c>
      <c r="D34" s="157">
        <v>28200756</v>
      </c>
      <c r="E34" s="157">
        <f>+D34-C34</f>
        <v>2218067</v>
      </c>
      <c r="F34" s="161">
        <f>IF(C34=0,0,E34/C34)</f>
        <v>8.5367107307484605E-2</v>
      </c>
    </row>
    <row r="35" spans="1:6" ht="15.75" customHeight="1" x14ac:dyDescent="0.25">
      <c r="A35" s="147"/>
      <c r="B35" s="162" t="s">
        <v>174</v>
      </c>
      <c r="C35" s="158">
        <f>SUM(C33:C34)</f>
        <v>51195100</v>
      </c>
      <c r="D35" s="158">
        <f>SUM(D33:D34)</f>
        <v>55588770</v>
      </c>
      <c r="E35" s="158">
        <f>+D35-C35</f>
        <v>4393670</v>
      </c>
      <c r="F35" s="159">
        <f>IF(C35=0,0,E35/C35)</f>
        <v>8.582208062881018E-2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6054024</v>
      </c>
      <c r="D38" s="157">
        <v>6084205</v>
      </c>
      <c r="E38" s="157">
        <f>+D38-C38</f>
        <v>30181</v>
      </c>
      <c r="F38" s="161">
        <f>IF(C38=0,0,E38/C38)</f>
        <v>4.9852792126360915E-3</v>
      </c>
    </row>
    <row r="39" spans="1:6" ht="15" customHeight="1" x14ac:dyDescent="0.2">
      <c r="A39" s="147">
        <v>2</v>
      </c>
      <c r="B39" s="160" t="s">
        <v>178</v>
      </c>
      <c r="C39" s="157">
        <v>17798989</v>
      </c>
      <c r="D39" s="157">
        <v>17373259</v>
      </c>
      <c r="E39" s="157">
        <f>+D39-C39</f>
        <v>-425730</v>
      </c>
      <c r="F39" s="161">
        <f>IF(C39=0,0,E39/C39)</f>
        <v>-2.391877426296516E-2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23853013</v>
      </c>
      <c r="D41" s="158">
        <f>SUM(D38:D40)</f>
        <v>23457464</v>
      </c>
      <c r="E41" s="158">
        <f>+D41-C41</f>
        <v>-395549</v>
      </c>
      <c r="F41" s="159">
        <f>IF(C41=0,0,E41/C41)</f>
        <v>-1.6582768809961242E-2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310142</v>
      </c>
      <c r="D47" s="157">
        <v>325149</v>
      </c>
      <c r="E47" s="157">
        <f>+D47-C47</f>
        <v>15007</v>
      </c>
      <c r="F47" s="161">
        <f>IF(C47=0,0,E47/C47)</f>
        <v>4.8387512816709763E-2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1279220</v>
      </c>
      <c r="D50" s="157">
        <v>2162707</v>
      </c>
      <c r="E50" s="157">
        <f>+D50-C50</f>
        <v>883487</v>
      </c>
      <c r="F50" s="161">
        <f>IF(C50=0,0,E50/C50)</f>
        <v>0.69064508059598817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107277</v>
      </c>
      <c r="D53" s="157">
        <v>105271</v>
      </c>
      <c r="E53" s="157">
        <f t="shared" ref="E53:E59" si="0">+D53-C53</f>
        <v>-2006</v>
      </c>
      <c r="F53" s="161">
        <f t="shared" ref="F53:F59" si="1">IF(C53=0,0,E53/C53)</f>
        <v>-1.8699255199157321E-2</v>
      </c>
    </row>
    <row r="54" spans="1:6" ht="15" customHeight="1" x14ac:dyDescent="0.2">
      <c r="A54" s="147">
        <v>2</v>
      </c>
      <c r="B54" s="160" t="s">
        <v>189</v>
      </c>
      <c r="C54" s="157">
        <v>379403</v>
      </c>
      <c r="D54" s="157">
        <v>309951</v>
      </c>
      <c r="E54" s="157">
        <f t="shared" si="0"/>
        <v>-69452</v>
      </c>
      <c r="F54" s="161">
        <f t="shared" si="1"/>
        <v>-0.18305601168151017</v>
      </c>
    </row>
    <row r="55" spans="1:6" ht="15" customHeight="1" x14ac:dyDescent="0.2">
      <c r="A55" s="147">
        <v>3</v>
      </c>
      <c r="B55" s="160" t="s">
        <v>190</v>
      </c>
      <c r="C55" s="157">
        <v>26285</v>
      </c>
      <c r="D55" s="157">
        <v>3150</v>
      </c>
      <c r="E55" s="157">
        <f t="shared" si="0"/>
        <v>-23135</v>
      </c>
      <c r="F55" s="161">
        <f t="shared" si="1"/>
        <v>-0.88015978695073238</v>
      </c>
    </row>
    <row r="56" spans="1:6" ht="15" customHeight="1" x14ac:dyDescent="0.2">
      <c r="A56" s="147">
        <v>4</v>
      </c>
      <c r="B56" s="160" t="s">
        <v>191</v>
      </c>
      <c r="C56" s="157">
        <v>1502323</v>
      </c>
      <c r="D56" s="157">
        <v>1516947</v>
      </c>
      <c r="E56" s="157">
        <f t="shared" si="0"/>
        <v>14624</v>
      </c>
      <c r="F56" s="161">
        <f t="shared" si="1"/>
        <v>9.7342582121155031E-3</v>
      </c>
    </row>
    <row r="57" spans="1:6" ht="15" customHeight="1" x14ac:dyDescent="0.2">
      <c r="A57" s="147">
        <v>5</v>
      </c>
      <c r="B57" s="160" t="s">
        <v>192</v>
      </c>
      <c r="C57" s="157">
        <v>5007</v>
      </c>
      <c r="D57" s="157">
        <v>5443</v>
      </c>
      <c r="E57" s="157">
        <f t="shared" si="0"/>
        <v>436</v>
      </c>
      <c r="F57" s="161">
        <f t="shared" si="1"/>
        <v>8.7078090673057718E-2</v>
      </c>
    </row>
    <row r="58" spans="1:6" ht="15" customHeight="1" x14ac:dyDescent="0.2">
      <c r="A58" s="147">
        <v>6</v>
      </c>
      <c r="B58" s="160" t="s">
        <v>193</v>
      </c>
      <c r="C58" s="157">
        <v>43981</v>
      </c>
      <c r="D58" s="157">
        <v>49118</v>
      </c>
      <c r="E58" s="157">
        <f t="shared" si="0"/>
        <v>5137</v>
      </c>
      <c r="F58" s="161">
        <f t="shared" si="1"/>
        <v>0.11680043655214752</v>
      </c>
    </row>
    <row r="59" spans="1:6" ht="15.75" customHeight="1" x14ac:dyDescent="0.25">
      <c r="A59" s="147"/>
      <c r="B59" s="162" t="s">
        <v>194</v>
      </c>
      <c r="C59" s="158">
        <f>SUM(C53:C58)</f>
        <v>2064276</v>
      </c>
      <c r="D59" s="158">
        <f>SUM(D53:D58)</f>
        <v>1989880</v>
      </c>
      <c r="E59" s="158">
        <f t="shared" si="0"/>
        <v>-74396</v>
      </c>
      <c r="F59" s="159">
        <f t="shared" si="1"/>
        <v>-3.6039754373930616E-2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231250</v>
      </c>
      <c r="D62" s="157">
        <v>0</v>
      </c>
      <c r="E62" s="157">
        <f t="shared" ref="E62:E90" si="2">+D62-C62</f>
        <v>-231250</v>
      </c>
      <c r="F62" s="161">
        <f t="shared" ref="F62:F90" si="3">IF(C62=0,0,E62/C62)</f>
        <v>-1</v>
      </c>
    </row>
    <row r="63" spans="1:6" ht="15" customHeight="1" x14ac:dyDescent="0.2">
      <c r="A63" s="147">
        <v>2</v>
      </c>
      <c r="B63" s="160" t="s">
        <v>198</v>
      </c>
      <c r="C63" s="157">
        <v>435360</v>
      </c>
      <c r="D63" s="157">
        <v>492208</v>
      </c>
      <c r="E63" s="157">
        <f t="shared" si="2"/>
        <v>56848</v>
      </c>
      <c r="F63" s="161">
        <f t="shared" si="3"/>
        <v>0.13057699375229695</v>
      </c>
    </row>
    <row r="64" spans="1:6" ht="15" customHeight="1" x14ac:dyDescent="0.2">
      <c r="A64" s="147">
        <v>3</v>
      </c>
      <c r="B64" s="160" t="s">
        <v>199</v>
      </c>
      <c r="C64" s="157">
        <v>1176503</v>
      </c>
      <c r="D64" s="157">
        <v>653612</v>
      </c>
      <c r="E64" s="157">
        <f t="shared" si="2"/>
        <v>-522891</v>
      </c>
      <c r="F64" s="161">
        <f t="shared" si="3"/>
        <v>-0.44444510553734246</v>
      </c>
    </row>
    <row r="65" spans="1:6" ht="15" customHeight="1" x14ac:dyDescent="0.2">
      <c r="A65" s="147">
        <v>4</v>
      </c>
      <c r="B65" s="160" t="s">
        <v>200</v>
      </c>
      <c r="C65" s="157">
        <v>508380</v>
      </c>
      <c r="D65" s="157">
        <v>479546</v>
      </c>
      <c r="E65" s="157">
        <f t="shared" si="2"/>
        <v>-28834</v>
      </c>
      <c r="F65" s="161">
        <f t="shared" si="3"/>
        <v>-5.6717416106062395E-2</v>
      </c>
    </row>
    <row r="66" spans="1:6" ht="15" customHeight="1" x14ac:dyDescent="0.2">
      <c r="A66" s="147">
        <v>5</v>
      </c>
      <c r="B66" s="160" t="s">
        <v>201</v>
      </c>
      <c r="C66" s="157">
        <v>1583170</v>
      </c>
      <c r="D66" s="157">
        <v>1621210</v>
      </c>
      <c r="E66" s="157">
        <f t="shared" si="2"/>
        <v>38040</v>
      </c>
      <c r="F66" s="161">
        <f t="shared" si="3"/>
        <v>2.402774180915505E-2</v>
      </c>
    </row>
    <row r="67" spans="1:6" ht="15" customHeight="1" x14ac:dyDescent="0.2">
      <c r="A67" s="147">
        <v>6</v>
      </c>
      <c r="B67" s="160" t="s">
        <v>202</v>
      </c>
      <c r="C67" s="157">
        <v>5548827</v>
      </c>
      <c r="D67" s="157">
        <v>6471763</v>
      </c>
      <c r="E67" s="157">
        <f t="shared" si="2"/>
        <v>922936</v>
      </c>
      <c r="F67" s="161">
        <f t="shared" si="3"/>
        <v>0.16632992883000317</v>
      </c>
    </row>
    <row r="68" spans="1:6" ht="15" customHeight="1" x14ac:dyDescent="0.2">
      <c r="A68" s="147">
        <v>7</v>
      </c>
      <c r="B68" s="160" t="s">
        <v>203</v>
      </c>
      <c r="C68" s="157">
        <v>1119196</v>
      </c>
      <c r="D68" s="157">
        <v>1108190</v>
      </c>
      <c r="E68" s="157">
        <f t="shared" si="2"/>
        <v>-11006</v>
      </c>
      <c r="F68" s="161">
        <f t="shared" si="3"/>
        <v>-9.833845010168013E-3</v>
      </c>
    </row>
    <row r="69" spans="1:6" ht="15" customHeight="1" x14ac:dyDescent="0.2">
      <c r="A69" s="147">
        <v>8</v>
      </c>
      <c r="B69" s="160" t="s">
        <v>204</v>
      </c>
      <c r="C69" s="157">
        <v>0</v>
      </c>
      <c r="D69" s="157">
        <v>0</v>
      </c>
      <c r="E69" s="157">
        <f t="shared" si="2"/>
        <v>0</v>
      </c>
      <c r="F69" s="161">
        <f t="shared" si="3"/>
        <v>0</v>
      </c>
    </row>
    <row r="70" spans="1:6" ht="15" customHeight="1" x14ac:dyDescent="0.2">
      <c r="A70" s="147">
        <v>9</v>
      </c>
      <c r="B70" s="160" t="s">
        <v>205</v>
      </c>
      <c r="C70" s="157">
        <v>70810</v>
      </c>
      <c r="D70" s="157">
        <v>43126</v>
      </c>
      <c r="E70" s="157">
        <f t="shared" si="2"/>
        <v>-27684</v>
      </c>
      <c r="F70" s="161">
        <f t="shared" si="3"/>
        <v>-0.39096172856941108</v>
      </c>
    </row>
    <row r="71" spans="1:6" ht="15" customHeight="1" x14ac:dyDescent="0.2">
      <c r="A71" s="147">
        <v>10</v>
      </c>
      <c r="B71" s="160" t="s">
        <v>206</v>
      </c>
      <c r="C71" s="157">
        <v>317165</v>
      </c>
      <c r="D71" s="157">
        <v>323741</v>
      </c>
      <c r="E71" s="157">
        <f t="shared" si="2"/>
        <v>6576</v>
      </c>
      <c r="F71" s="161">
        <f t="shared" si="3"/>
        <v>2.0733687512808789E-2</v>
      </c>
    </row>
    <row r="72" spans="1:6" ht="15" customHeight="1" x14ac:dyDescent="0.2">
      <c r="A72" s="147">
        <v>11</v>
      </c>
      <c r="B72" s="160" t="s">
        <v>207</v>
      </c>
      <c r="C72" s="157">
        <v>84501</v>
      </c>
      <c r="D72" s="157">
        <v>176292</v>
      </c>
      <c r="E72" s="157">
        <f t="shared" si="2"/>
        <v>91791</v>
      </c>
      <c r="F72" s="161">
        <f t="shared" si="3"/>
        <v>1.0862711683885398</v>
      </c>
    </row>
    <row r="73" spans="1:6" ht="15" customHeight="1" x14ac:dyDescent="0.2">
      <c r="A73" s="147">
        <v>12</v>
      </c>
      <c r="B73" s="160" t="s">
        <v>208</v>
      </c>
      <c r="C73" s="157">
        <v>2872084</v>
      </c>
      <c r="D73" s="157">
        <v>2877388</v>
      </c>
      <c r="E73" s="157">
        <f t="shared" si="2"/>
        <v>5304</v>
      </c>
      <c r="F73" s="161">
        <f t="shared" si="3"/>
        <v>1.8467426440173756E-3</v>
      </c>
    </row>
    <row r="74" spans="1:6" ht="15" customHeight="1" x14ac:dyDescent="0.2">
      <c r="A74" s="147">
        <v>13</v>
      </c>
      <c r="B74" s="160" t="s">
        <v>209</v>
      </c>
      <c r="C74" s="157">
        <v>232698</v>
      </c>
      <c r="D74" s="157">
        <v>271350</v>
      </c>
      <c r="E74" s="157">
        <f t="shared" si="2"/>
        <v>38652</v>
      </c>
      <c r="F74" s="161">
        <f t="shared" si="3"/>
        <v>0.16610370523167367</v>
      </c>
    </row>
    <row r="75" spans="1:6" ht="15" customHeight="1" x14ac:dyDescent="0.2">
      <c r="A75" s="147">
        <v>14</v>
      </c>
      <c r="B75" s="160" t="s">
        <v>210</v>
      </c>
      <c r="C75" s="157">
        <v>249782</v>
      </c>
      <c r="D75" s="157">
        <v>-41330</v>
      </c>
      <c r="E75" s="157">
        <f t="shared" si="2"/>
        <v>-291112</v>
      </c>
      <c r="F75" s="161">
        <f t="shared" si="3"/>
        <v>-1.1654642848563947</v>
      </c>
    </row>
    <row r="76" spans="1:6" ht="15" customHeight="1" x14ac:dyDescent="0.2">
      <c r="A76" s="147">
        <v>15</v>
      </c>
      <c r="B76" s="160" t="s">
        <v>211</v>
      </c>
      <c r="C76" s="157">
        <v>0</v>
      </c>
      <c r="D76" s="157">
        <v>0</v>
      </c>
      <c r="E76" s="157">
        <f t="shared" si="2"/>
        <v>0</v>
      </c>
      <c r="F76" s="161">
        <f t="shared" si="3"/>
        <v>0</v>
      </c>
    </row>
    <row r="77" spans="1:6" ht="15" customHeight="1" x14ac:dyDescent="0.2">
      <c r="A77" s="147">
        <v>16</v>
      </c>
      <c r="B77" s="160" t="s">
        <v>212</v>
      </c>
      <c r="C77" s="157">
        <v>42514958</v>
      </c>
      <c r="D77" s="157">
        <v>51149942</v>
      </c>
      <c r="E77" s="157">
        <f t="shared" si="2"/>
        <v>8634984</v>
      </c>
      <c r="F77" s="161">
        <f t="shared" si="3"/>
        <v>0.20310461085249101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197703</v>
      </c>
      <c r="D79" s="157">
        <v>224061</v>
      </c>
      <c r="E79" s="157">
        <f t="shared" si="2"/>
        <v>26358</v>
      </c>
      <c r="F79" s="161">
        <f t="shared" si="3"/>
        <v>0.13332119391208025</v>
      </c>
    </row>
    <row r="80" spans="1:6" ht="15" customHeight="1" x14ac:dyDescent="0.2">
      <c r="A80" s="147">
        <v>19</v>
      </c>
      <c r="B80" s="160" t="s">
        <v>215</v>
      </c>
      <c r="C80" s="157">
        <v>2343986</v>
      </c>
      <c r="D80" s="157">
        <v>2422467</v>
      </c>
      <c r="E80" s="157">
        <f t="shared" si="2"/>
        <v>78481</v>
      </c>
      <c r="F80" s="161">
        <f t="shared" si="3"/>
        <v>3.3481855267053641E-2</v>
      </c>
    </row>
    <row r="81" spans="1:6" ht="15" customHeight="1" x14ac:dyDescent="0.2">
      <c r="A81" s="147">
        <v>20</v>
      </c>
      <c r="B81" s="160" t="s">
        <v>216</v>
      </c>
      <c r="C81" s="157">
        <v>1279267</v>
      </c>
      <c r="D81" s="157">
        <v>1178971</v>
      </c>
      <c r="E81" s="157">
        <f t="shared" si="2"/>
        <v>-100296</v>
      </c>
      <c r="F81" s="161">
        <f t="shared" si="3"/>
        <v>-7.8401146906783334E-2</v>
      </c>
    </row>
    <row r="82" spans="1:6" ht="15" customHeight="1" x14ac:dyDescent="0.2">
      <c r="A82" s="147">
        <v>21</v>
      </c>
      <c r="B82" s="160" t="s">
        <v>217</v>
      </c>
      <c r="C82" s="157">
        <v>1079427</v>
      </c>
      <c r="D82" s="157">
        <v>966535</v>
      </c>
      <c r="E82" s="157">
        <f t="shared" si="2"/>
        <v>-112892</v>
      </c>
      <c r="F82" s="161">
        <f t="shared" si="3"/>
        <v>-0.10458511784493069</v>
      </c>
    </row>
    <row r="83" spans="1:6" ht="15" customHeight="1" x14ac:dyDescent="0.2">
      <c r="A83" s="147">
        <v>22</v>
      </c>
      <c r="B83" s="160" t="s">
        <v>218</v>
      </c>
      <c r="C83" s="157">
        <v>86319</v>
      </c>
      <c r="D83" s="157">
        <v>96256</v>
      </c>
      <c r="E83" s="157">
        <f t="shared" si="2"/>
        <v>9937</v>
      </c>
      <c r="F83" s="161">
        <f t="shared" si="3"/>
        <v>0.11511949860401534</v>
      </c>
    </row>
    <row r="84" spans="1:6" ht="15" customHeight="1" x14ac:dyDescent="0.2">
      <c r="A84" s="147">
        <v>23</v>
      </c>
      <c r="B84" s="160" t="s">
        <v>219</v>
      </c>
      <c r="C84" s="157">
        <v>1122989</v>
      </c>
      <c r="D84" s="157">
        <v>1125822</v>
      </c>
      <c r="E84" s="157">
        <f t="shared" si="2"/>
        <v>2833</v>
      </c>
      <c r="F84" s="161">
        <f t="shared" si="3"/>
        <v>2.5227317453688325E-3</v>
      </c>
    </row>
    <row r="85" spans="1:6" ht="15" customHeight="1" x14ac:dyDescent="0.2">
      <c r="A85" s="147">
        <v>24</v>
      </c>
      <c r="B85" s="160" t="s">
        <v>220</v>
      </c>
      <c r="C85" s="157">
        <v>3351567</v>
      </c>
      <c r="D85" s="157">
        <v>3334207</v>
      </c>
      <c r="E85" s="157">
        <f t="shared" si="2"/>
        <v>-17360</v>
      </c>
      <c r="F85" s="161">
        <f t="shared" si="3"/>
        <v>-5.1796667051561256E-3</v>
      </c>
    </row>
    <row r="86" spans="1:6" ht="15" customHeight="1" x14ac:dyDescent="0.2">
      <c r="A86" s="147">
        <v>25</v>
      </c>
      <c r="B86" s="160" t="s">
        <v>221</v>
      </c>
      <c r="C86" s="157">
        <v>212250</v>
      </c>
      <c r="D86" s="157">
        <v>228748</v>
      </c>
      <c r="E86" s="157">
        <f t="shared" si="2"/>
        <v>16498</v>
      </c>
      <c r="F86" s="161">
        <f t="shared" si="3"/>
        <v>7.7729093050647818E-2</v>
      </c>
    </row>
    <row r="87" spans="1:6" ht="15" customHeight="1" x14ac:dyDescent="0.2">
      <c r="A87" s="147">
        <v>26</v>
      </c>
      <c r="B87" s="160" t="s">
        <v>222</v>
      </c>
      <c r="C87" s="157">
        <v>1183840</v>
      </c>
      <c r="D87" s="157">
        <v>1181186</v>
      </c>
      <c r="E87" s="157">
        <f t="shared" si="2"/>
        <v>-2654</v>
      </c>
      <c r="F87" s="161">
        <f t="shared" si="3"/>
        <v>-2.2418570077037438E-3</v>
      </c>
    </row>
    <row r="88" spans="1:6" ht="15" customHeight="1" x14ac:dyDescent="0.2">
      <c r="A88" s="147">
        <v>27</v>
      </c>
      <c r="B88" s="160" t="s">
        <v>223</v>
      </c>
      <c r="C88" s="157">
        <v>7483412</v>
      </c>
      <c r="D88" s="157">
        <v>9190532</v>
      </c>
      <c r="E88" s="157">
        <f t="shared" si="2"/>
        <v>1707120</v>
      </c>
      <c r="F88" s="161">
        <f t="shared" si="3"/>
        <v>0.22812054180633112</v>
      </c>
    </row>
    <row r="89" spans="1:6" ht="15" customHeight="1" x14ac:dyDescent="0.2">
      <c r="A89" s="147">
        <v>28</v>
      </c>
      <c r="B89" s="160" t="s">
        <v>224</v>
      </c>
      <c r="C89" s="157">
        <v>8497807</v>
      </c>
      <c r="D89" s="157">
        <v>9100840</v>
      </c>
      <c r="E89" s="157">
        <f t="shared" si="2"/>
        <v>603033</v>
      </c>
      <c r="F89" s="161">
        <f t="shared" si="3"/>
        <v>7.0963367372311473E-2</v>
      </c>
    </row>
    <row r="90" spans="1:6" ht="15.75" customHeight="1" x14ac:dyDescent="0.25">
      <c r="A90" s="147"/>
      <c r="B90" s="162" t="s">
        <v>225</v>
      </c>
      <c r="C90" s="158">
        <f>SUM(C62:C89)</f>
        <v>83783251</v>
      </c>
      <c r="D90" s="158">
        <f>SUM(D62:D89)</f>
        <v>94676663</v>
      </c>
      <c r="E90" s="158">
        <f t="shared" si="2"/>
        <v>10893412</v>
      </c>
      <c r="F90" s="159">
        <f t="shared" si="3"/>
        <v>0.13001897002063098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707962</v>
      </c>
      <c r="D93" s="157">
        <v>700008</v>
      </c>
      <c r="E93" s="157">
        <f>+D93-C93</f>
        <v>-7954</v>
      </c>
      <c r="F93" s="161">
        <f>IF(C93=0,0,E93/C93)</f>
        <v>-1.1235066288868611E-2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328168956</v>
      </c>
      <c r="D95" s="158">
        <f>+D93+D90+D59+D50+D47+D44+D41+D35+D30+D24+D18</f>
        <v>342552775</v>
      </c>
      <c r="E95" s="158">
        <f>+D95-C95</f>
        <v>14383819</v>
      </c>
      <c r="F95" s="159">
        <f>IF(C95=0,0,E95/C95)</f>
        <v>4.3830529174124562E-2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82300325</v>
      </c>
      <c r="D103" s="157">
        <v>92032094</v>
      </c>
      <c r="E103" s="157">
        <f t="shared" ref="E103:E121" si="4">D103-C103</f>
        <v>9731769</v>
      </c>
      <c r="F103" s="161">
        <f t="shared" ref="F103:F121" si="5">IF(C103=0,0,E103/C103)</f>
        <v>0.11824703000869073</v>
      </c>
    </row>
    <row r="104" spans="1:6" ht="15" customHeight="1" x14ac:dyDescent="0.2">
      <c r="A104" s="147">
        <v>2</v>
      </c>
      <c r="B104" s="169" t="s">
        <v>234</v>
      </c>
      <c r="C104" s="157">
        <v>7061250</v>
      </c>
      <c r="D104" s="157">
        <v>7239452</v>
      </c>
      <c r="E104" s="157">
        <f t="shared" si="4"/>
        <v>178202</v>
      </c>
      <c r="F104" s="161">
        <f t="shared" si="5"/>
        <v>2.5236608249247654E-2</v>
      </c>
    </row>
    <row r="105" spans="1:6" ht="15" customHeight="1" x14ac:dyDescent="0.2">
      <c r="A105" s="147">
        <v>3</v>
      </c>
      <c r="B105" s="169" t="s">
        <v>235</v>
      </c>
      <c r="C105" s="157">
        <v>10091317</v>
      </c>
      <c r="D105" s="157">
        <v>10629723</v>
      </c>
      <c r="E105" s="157">
        <f t="shared" si="4"/>
        <v>538406</v>
      </c>
      <c r="F105" s="161">
        <f t="shared" si="5"/>
        <v>5.3353392822760401E-2</v>
      </c>
    </row>
    <row r="106" spans="1:6" ht="15" customHeight="1" x14ac:dyDescent="0.2">
      <c r="A106" s="147">
        <v>4</v>
      </c>
      <c r="B106" s="169" t="s">
        <v>236</v>
      </c>
      <c r="C106" s="157">
        <v>4137115</v>
      </c>
      <c r="D106" s="157">
        <v>4104310</v>
      </c>
      <c r="E106" s="157">
        <f t="shared" si="4"/>
        <v>-32805</v>
      </c>
      <c r="F106" s="161">
        <f t="shared" si="5"/>
        <v>-7.9294387514004319E-3</v>
      </c>
    </row>
    <row r="107" spans="1:6" ht="15" customHeight="1" x14ac:dyDescent="0.2">
      <c r="A107" s="147">
        <v>5</v>
      </c>
      <c r="B107" s="169" t="s">
        <v>237</v>
      </c>
      <c r="C107" s="157">
        <v>19778643</v>
      </c>
      <c r="D107" s="157">
        <v>16076687</v>
      </c>
      <c r="E107" s="157">
        <f t="shared" si="4"/>
        <v>-3701956</v>
      </c>
      <c r="F107" s="161">
        <f t="shared" si="5"/>
        <v>-0.18716936242794815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1559298</v>
      </c>
      <c r="D109" s="157">
        <v>1577327</v>
      </c>
      <c r="E109" s="157">
        <f t="shared" si="4"/>
        <v>18029</v>
      </c>
      <c r="F109" s="161">
        <f t="shared" si="5"/>
        <v>1.1562254296484701E-2</v>
      </c>
    </row>
    <row r="110" spans="1:6" ht="15" customHeight="1" x14ac:dyDescent="0.2">
      <c r="A110" s="147">
        <v>8</v>
      </c>
      <c r="B110" s="169" t="s">
        <v>240</v>
      </c>
      <c r="C110" s="157">
        <v>3513039</v>
      </c>
      <c r="D110" s="157">
        <v>3563477</v>
      </c>
      <c r="E110" s="157">
        <f t="shared" si="4"/>
        <v>50438</v>
      </c>
      <c r="F110" s="161">
        <f t="shared" si="5"/>
        <v>1.4357369787241189E-2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5104262</v>
      </c>
      <c r="D112" s="157">
        <v>5029726</v>
      </c>
      <c r="E112" s="157">
        <f t="shared" si="4"/>
        <v>-74536</v>
      </c>
      <c r="F112" s="161">
        <f t="shared" si="5"/>
        <v>-1.4602698685921687E-2</v>
      </c>
    </row>
    <row r="113" spans="1:6" ht="15" customHeight="1" x14ac:dyDescent="0.2">
      <c r="A113" s="147">
        <v>11</v>
      </c>
      <c r="B113" s="169" t="s">
        <v>243</v>
      </c>
      <c r="C113" s="157">
        <v>2915825</v>
      </c>
      <c r="D113" s="157">
        <v>2959809</v>
      </c>
      <c r="E113" s="157">
        <f t="shared" si="4"/>
        <v>43984</v>
      </c>
      <c r="F113" s="161">
        <f t="shared" si="5"/>
        <v>1.5084581550676053E-2</v>
      </c>
    </row>
    <row r="114" spans="1:6" ht="15" customHeight="1" x14ac:dyDescent="0.2">
      <c r="A114" s="147">
        <v>12</v>
      </c>
      <c r="B114" s="169" t="s">
        <v>244</v>
      </c>
      <c r="C114" s="157">
        <v>175605</v>
      </c>
      <c r="D114" s="157">
        <v>207638</v>
      </c>
      <c r="E114" s="157">
        <f t="shared" si="4"/>
        <v>32033</v>
      </c>
      <c r="F114" s="161">
        <f t="shared" si="5"/>
        <v>0.18241507929728654</v>
      </c>
    </row>
    <row r="115" spans="1:6" ht="15" customHeight="1" x14ac:dyDescent="0.2">
      <c r="A115" s="147">
        <v>13</v>
      </c>
      <c r="B115" s="169" t="s">
        <v>245</v>
      </c>
      <c r="C115" s="157">
        <v>3405885</v>
      </c>
      <c r="D115" s="157">
        <v>3316087</v>
      </c>
      <c r="E115" s="157">
        <f t="shared" si="4"/>
        <v>-89798</v>
      </c>
      <c r="F115" s="161">
        <f t="shared" si="5"/>
        <v>-2.6365540821254974E-2</v>
      </c>
    </row>
    <row r="116" spans="1:6" ht="15" customHeight="1" x14ac:dyDescent="0.2">
      <c r="A116" s="147">
        <v>14</v>
      </c>
      <c r="B116" s="169" t="s">
        <v>246</v>
      </c>
      <c r="C116" s="157">
        <v>2161615</v>
      </c>
      <c r="D116" s="157">
        <v>2173853</v>
      </c>
      <c r="E116" s="157">
        <f t="shared" si="4"/>
        <v>12238</v>
      </c>
      <c r="F116" s="161">
        <f t="shared" si="5"/>
        <v>5.6615077152962021E-3</v>
      </c>
    </row>
    <row r="117" spans="1:6" ht="15" customHeight="1" x14ac:dyDescent="0.2">
      <c r="A117" s="147">
        <v>15</v>
      </c>
      <c r="B117" s="169" t="s">
        <v>203</v>
      </c>
      <c r="C117" s="157">
        <v>2683634</v>
      </c>
      <c r="D117" s="157">
        <v>3094614</v>
      </c>
      <c r="E117" s="157">
        <f t="shared" si="4"/>
        <v>410980</v>
      </c>
      <c r="F117" s="161">
        <f t="shared" si="5"/>
        <v>0.15314308881166358</v>
      </c>
    </row>
    <row r="118" spans="1:6" ht="15" customHeight="1" x14ac:dyDescent="0.2">
      <c r="A118" s="147">
        <v>16</v>
      </c>
      <c r="B118" s="169" t="s">
        <v>247</v>
      </c>
      <c r="C118" s="157">
        <v>1683841</v>
      </c>
      <c r="D118" s="157">
        <v>2168945</v>
      </c>
      <c r="E118" s="157">
        <f t="shared" si="4"/>
        <v>485104</v>
      </c>
      <c r="F118" s="161">
        <f t="shared" si="5"/>
        <v>0.28809370956046326</v>
      </c>
    </row>
    <row r="119" spans="1:6" ht="15" customHeight="1" x14ac:dyDescent="0.2">
      <c r="A119" s="147">
        <v>17</v>
      </c>
      <c r="B119" s="169" t="s">
        <v>248</v>
      </c>
      <c r="C119" s="157">
        <v>30728375</v>
      </c>
      <c r="D119" s="157">
        <v>32919010</v>
      </c>
      <c r="E119" s="157">
        <f t="shared" si="4"/>
        <v>2190635</v>
      </c>
      <c r="F119" s="161">
        <f t="shared" si="5"/>
        <v>7.1290297648346199E-2</v>
      </c>
    </row>
    <row r="120" spans="1:6" ht="15" customHeight="1" x14ac:dyDescent="0.2">
      <c r="A120" s="147">
        <v>18</v>
      </c>
      <c r="B120" s="169" t="s">
        <v>249</v>
      </c>
      <c r="C120" s="157">
        <v>1273743</v>
      </c>
      <c r="D120" s="157">
        <v>1202485</v>
      </c>
      <c r="E120" s="157">
        <f t="shared" si="4"/>
        <v>-71258</v>
      </c>
      <c r="F120" s="161">
        <f t="shared" si="5"/>
        <v>-5.5943781437856777E-2</v>
      </c>
    </row>
    <row r="121" spans="1:6" ht="15.75" customHeight="1" x14ac:dyDescent="0.25">
      <c r="A121" s="147"/>
      <c r="B121" s="165" t="s">
        <v>250</v>
      </c>
      <c r="C121" s="158">
        <f>SUM(C103:C120)</f>
        <v>178573772</v>
      </c>
      <c r="D121" s="158">
        <f>SUM(D103:D120)</f>
        <v>188295237</v>
      </c>
      <c r="E121" s="158">
        <f t="shared" si="4"/>
        <v>9721465</v>
      </c>
      <c r="F121" s="159">
        <f t="shared" si="5"/>
        <v>5.4439489579690345E-2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1792540</v>
      </c>
      <c r="D124" s="157">
        <v>3248264</v>
      </c>
      <c r="E124" s="157">
        <f t="shared" ref="E124:E130" si="6">D124-C124</f>
        <v>1455724</v>
      </c>
      <c r="F124" s="161">
        <f t="shared" ref="F124:F130" si="7">IF(C124=0,0,E124/C124)</f>
        <v>0.8121012641279971</v>
      </c>
    </row>
    <row r="125" spans="1:6" ht="15" customHeight="1" x14ac:dyDescent="0.2">
      <c r="A125" s="147">
        <v>2</v>
      </c>
      <c r="B125" s="169" t="s">
        <v>253</v>
      </c>
      <c r="C125" s="157">
        <v>2468192</v>
      </c>
      <c r="D125" s="157">
        <v>2532294</v>
      </c>
      <c r="E125" s="157">
        <f t="shared" si="6"/>
        <v>64102</v>
      </c>
      <c r="F125" s="161">
        <f t="shared" si="7"/>
        <v>2.5971237245724806E-2</v>
      </c>
    </row>
    <row r="126" spans="1:6" ht="15" customHeight="1" x14ac:dyDescent="0.2">
      <c r="A126" s="147">
        <v>3</v>
      </c>
      <c r="B126" s="169" t="s">
        <v>254</v>
      </c>
      <c r="C126" s="157">
        <v>2758519</v>
      </c>
      <c r="D126" s="157">
        <v>3222895</v>
      </c>
      <c r="E126" s="157">
        <f t="shared" si="6"/>
        <v>464376</v>
      </c>
      <c r="F126" s="161">
        <f t="shared" si="7"/>
        <v>0.16834250552560995</v>
      </c>
    </row>
    <row r="127" spans="1:6" ht="15" customHeight="1" x14ac:dyDescent="0.2">
      <c r="A127" s="147">
        <v>4</v>
      </c>
      <c r="B127" s="169" t="s">
        <v>255</v>
      </c>
      <c r="C127" s="157">
        <v>183761</v>
      </c>
      <c r="D127" s="157">
        <v>18902</v>
      </c>
      <c r="E127" s="157">
        <f t="shared" si="6"/>
        <v>-164859</v>
      </c>
      <c r="F127" s="161">
        <f t="shared" si="7"/>
        <v>-0.89713813050647306</v>
      </c>
    </row>
    <row r="128" spans="1:6" ht="15" customHeight="1" x14ac:dyDescent="0.2">
      <c r="A128" s="147">
        <v>5</v>
      </c>
      <c r="B128" s="169" t="s">
        <v>256</v>
      </c>
      <c r="C128" s="157">
        <v>2612654</v>
      </c>
      <c r="D128" s="157">
        <v>2594085</v>
      </c>
      <c r="E128" s="157">
        <f t="shared" si="6"/>
        <v>-18569</v>
      </c>
      <c r="F128" s="161">
        <f t="shared" si="7"/>
        <v>-7.1073322376403458E-3</v>
      </c>
    </row>
    <row r="129" spans="1:6" ht="15" customHeight="1" x14ac:dyDescent="0.2">
      <c r="A129" s="147">
        <v>6</v>
      </c>
      <c r="B129" s="169" t="s">
        <v>257</v>
      </c>
      <c r="C129" s="157">
        <v>2855424</v>
      </c>
      <c r="D129" s="157">
        <v>2707600</v>
      </c>
      <c r="E129" s="157">
        <f t="shared" si="6"/>
        <v>-147824</v>
      </c>
      <c r="F129" s="161">
        <f t="shared" si="7"/>
        <v>-5.1769544558006093E-2</v>
      </c>
    </row>
    <row r="130" spans="1:6" ht="15.75" customHeight="1" x14ac:dyDescent="0.25">
      <c r="A130" s="147"/>
      <c r="B130" s="165" t="s">
        <v>258</v>
      </c>
      <c r="C130" s="158">
        <f>SUM(C124:C129)</f>
        <v>12671090</v>
      </c>
      <c r="D130" s="158">
        <f>SUM(D124:D129)</f>
        <v>14324040</v>
      </c>
      <c r="E130" s="158">
        <f t="shared" si="6"/>
        <v>1652950</v>
      </c>
      <c r="F130" s="159">
        <f t="shared" si="7"/>
        <v>0.13045049794453359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20566103</v>
      </c>
      <c r="D133" s="157">
        <v>21616859</v>
      </c>
      <c r="E133" s="157">
        <f t="shared" ref="E133:E167" si="8">D133-C133</f>
        <v>1050756</v>
      </c>
      <c r="F133" s="161">
        <f t="shared" ref="F133:F167" si="9">IF(C133=0,0,E133/C133)</f>
        <v>5.1091643370647324E-2</v>
      </c>
    </row>
    <row r="134" spans="1:6" ht="15" customHeight="1" x14ac:dyDescent="0.2">
      <c r="A134" s="147">
        <v>2</v>
      </c>
      <c r="B134" s="169" t="s">
        <v>261</v>
      </c>
      <c r="C134" s="157">
        <v>1379434</v>
      </c>
      <c r="D134" s="157">
        <v>1466407</v>
      </c>
      <c r="E134" s="157">
        <f t="shared" si="8"/>
        <v>86973</v>
      </c>
      <c r="F134" s="161">
        <f t="shared" si="9"/>
        <v>6.3049772587887493E-2</v>
      </c>
    </row>
    <row r="135" spans="1:6" ht="15" customHeight="1" x14ac:dyDescent="0.2">
      <c r="A135" s="147">
        <v>3</v>
      </c>
      <c r="B135" s="169" t="s">
        <v>262</v>
      </c>
      <c r="C135" s="157">
        <v>1295398</v>
      </c>
      <c r="D135" s="157">
        <v>1512506</v>
      </c>
      <c r="E135" s="157">
        <f t="shared" si="8"/>
        <v>217108</v>
      </c>
      <c r="F135" s="161">
        <f t="shared" si="9"/>
        <v>0.16759945592011105</v>
      </c>
    </row>
    <row r="136" spans="1:6" ht="15" customHeight="1" x14ac:dyDescent="0.2">
      <c r="A136" s="147">
        <v>4</v>
      </c>
      <c r="B136" s="169" t="s">
        <v>263</v>
      </c>
      <c r="C136" s="157">
        <v>7609407</v>
      </c>
      <c r="D136" s="157">
        <v>8007945</v>
      </c>
      <c r="E136" s="157">
        <f t="shared" si="8"/>
        <v>398538</v>
      </c>
      <c r="F136" s="161">
        <f t="shared" si="9"/>
        <v>5.2374383444071269E-2</v>
      </c>
    </row>
    <row r="137" spans="1:6" ht="15" customHeight="1" x14ac:dyDescent="0.2">
      <c r="A137" s="147">
        <v>5</v>
      </c>
      <c r="B137" s="169" t="s">
        <v>264</v>
      </c>
      <c r="C137" s="157">
        <v>5297145</v>
      </c>
      <c r="D137" s="157">
        <v>4910201</v>
      </c>
      <c r="E137" s="157">
        <f t="shared" si="8"/>
        <v>-386944</v>
      </c>
      <c r="F137" s="161">
        <f t="shared" si="9"/>
        <v>-7.304765114037845E-2</v>
      </c>
    </row>
    <row r="138" spans="1:6" ht="15" customHeight="1" x14ac:dyDescent="0.2">
      <c r="A138" s="147">
        <v>6</v>
      </c>
      <c r="B138" s="169" t="s">
        <v>265</v>
      </c>
      <c r="C138" s="157">
        <v>2511355</v>
      </c>
      <c r="D138" s="157">
        <v>2340144</v>
      </c>
      <c r="E138" s="157">
        <f t="shared" si="8"/>
        <v>-171211</v>
      </c>
      <c r="F138" s="161">
        <f t="shared" si="9"/>
        <v>-6.8174750284209121E-2</v>
      </c>
    </row>
    <row r="139" spans="1:6" ht="15" customHeight="1" x14ac:dyDescent="0.2">
      <c r="A139" s="147">
        <v>7</v>
      </c>
      <c r="B139" s="169" t="s">
        <v>266</v>
      </c>
      <c r="C139" s="157">
        <v>6044549</v>
      </c>
      <c r="D139" s="157">
        <v>5984785</v>
      </c>
      <c r="E139" s="157">
        <f t="shared" si="8"/>
        <v>-59764</v>
      </c>
      <c r="F139" s="161">
        <f t="shared" si="9"/>
        <v>-9.8872554428791962E-3</v>
      </c>
    </row>
    <row r="140" spans="1:6" ht="15" customHeight="1" x14ac:dyDescent="0.2">
      <c r="A140" s="147">
        <v>8</v>
      </c>
      <c r="B140" s="169" t="s">
        <v>267</v>
      </c>
      <c r="C140" s="157">
        <v>678340</v>
      </c>
      <c r="D140" s="157">
        <v>667309</v>
      </c>
      <c r="E140" s="157">
        <f t="shared" si="8"/>
        <v>-11031</v>
      </c>
      <c r="F140" s="161">
        <f t="shared" si="9"/>
        <v>-1.626175664121237E-2</v>
      </c>
    </row>
    <row r="141" spans="1:6" ht="15" customHeight="1" x14ac:dyDescent="0.2">
      <c r="A141" s="147">
        <v>9</v>
      </c>
      <c r="B141" s="169" t="s">
        <v>268</v>
      </c>
      <c r="C141" s="157">
        <v>1551683</v>
      </c>
      <c r="D141" s="157">
        <v>1185502</v>
      </c>
      <c r="E141" s="157">
        <f t="shared" si="8"/>
        <v>-366181</v>
      </c>
      <c r="F141" s="161">
        <f t="shared" si="9"/>
        <v>-0.23598956745675503</v>
      </c>
    </row>
    <row r="142" spans="1:6" ht="15" customHeight="1" x14ac:dyDescent="0.2">
      <c r="A142" s="147">
        <v>10</v>
      </c>
      <c r="B142" s="169" t="s">
        <v>269</v>
      </c>
      <c r="C142" s="157">
        <v>17142054</v>
      </c>
      <c r="D142" s="157">
        <v>16973279</v>
      </c>
      <c r="E142" s="157">
        <f t="shared" si="8"/>
        <v>-168775</v>
      </c>
      <c r="F142" s="161">
        <f t="shared" si="9"/>
        <v>-9.8456696029542313E-3</v>
      </c>
    </row>
    <row r="143" spans="1:6" ht="15" customHeight="1" x14ac:dyDescent="0.2">
      <c r="A143" s="147">
        <v>11</v>
      </c>
      <c r="B143" s="169" t="s">
        <v>270</v>
      </c>
      <c r="C143" s="157">
        <v>1215880</v>
      </c>
      <c r="D143" s="157">
        <v>998326</v>
      </c>
      <c r="E143" s="157">
        <f t="shared" si="8"/>
        <v>-217554</v>
      </c>
      <c r="F143" s="161">
        <f t="shared" si="9"/>
        <v>-0.17892719676283844</v>
      </c>
    </row>
    <row r="144" spans="1:6" ht="15" customHeight="1" x14ac:dyDescent="0.2">
      <c r="A144" s="147">
        <v>12</v>
      </c>
      <c r="B144" s="169" t="s">
        <v>271</v>
      </c>
      <c r="C144" s="157">
        <v>1924424</v>
      </c>
      <c r="D144" s="157">
        <v>2622966</v>
      </c>
      <c r="E144" s="157">
        <f t="shared" si="8"/>
        <v>698542</v>
      </c>
      <c r="F144" s="161">
        <f t="shared" si="9"/>
        <v>0.36298757446383956</v>
      </c>
    </row>
    <row r="145" spans="1:6" ht="15" customHeight="1" x14ac:dyDescent="0.2">
      <c r="A145" s="147">
        <v>13</v>
      </c>
      <c r="B145" s="169" t="s">
        <v>272</v>
      </c>
      <c r="C145" s="157">
        <v>1054883</v>
      </c>
      <c r="D145" s="157">
        <v>991991</v>
      </c>
      <c r="E145" s="157">
        <f t="shared" si="8"/>
        <v>-62892</v>
      </c>
      <c r="F145" s="161">
        <f t="shared" si="9"/>
        <v>-5.9619882015351462E-2</v>
      </c>
    </row>
    <row r="146" spans="1:6" ht="15" customHeight="1" x14ac:dyDescent="0.2">
      <c r="A146" s="147">
        <v>14</v>
      </c>
      <c r="B146" s="169" t="s">
        <v>273</v>
      </c>
      <c r="C146" s="157">
        <v>434299</v>
      </c>
      <c r="D146" s="157">
        <v>484479</v>
      </c>
      <c r="E146" s="157">
        <f t="shared" si="8"/>
        <v>50180</v>
      </c>
      <c r="F146" s="161">
        <f t="shared" si="9"/>
        <v>0.11554251794270767</v>
      </c>
    </row>
    <row r="147" spans="1:6" ht="15" customHeight="1" x14ac:dyDescent="0.2">
      <c r="A147" s="147">
        <v>15</v>
      </c>
      <c r="B147" s="169" t="s">
        <v>274</v>
      </c>
      <c r="C147" s="157">
        <v>1522555</v>
      </c>
      <c r="D147" s="157">
        <v>1383607</v>
      </c>
      <c r="E147" s="157">
        <f t="shared" si="8"/>
        <v>-138948</v>
      </c>
      <c r="F147" s="161">
        <f t="shared" si="9"/>
        <v>-9.1259757447185813E-2</v>
      </c>
    </row>
    <row r="148" spans="1:6" ht="15" customHeight="1" x14ac:dyDescent="0.2">
      <c r="A148" s="147">
        <v>16</v>
      </c>
      <c r="B148" s="169" t="s">
        <v>275</v>
      </c>
      <c r="C148" s="157">
        <v>238265</v>
      </c>
      <c r="D148" s="157">
        <v>269236</v>
      </c>
      <c r="E148" s="157">
        <f t="shared" si="8"/>
        <v>30971</v>
      </c>
      <c r="F148" s="161">
        <f t="shared" si="9"/>
        <v>0.12998552032400898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1950413</v>
      </c>
      <c r="D150" s="157">
        <v>1875377</v>
      </c>
      <c r="E150" s="157">
        <f t="shared" si="8"/>
        <v>-75036</v>
      </c>
      <c r="F150" s="161">
        <f t="shared" si="9"/>
        <v>-3.8471851859067797E-2</v>
      </c>
    </row>
    <row r="151" spans="1:6" ht="15" customHeight="1" x14ac:dyDescent="0.2">
      <c r="A151" s="147">
        <v>19</v>
      </c>
      <c r="B151" s="169" t="s">
        <v>278</v>
      </c>
      <c r="C151" s="157">
        <v>209097</v>
      </c>
      <c r="D151" s="157">
        <v>237357</v>
      </c>
      <c r="E151" s="157">
        <f t="shared" si="8"/>
        <v>28260</v>
      </c>
      <c r="F151" s="161">
        <f t="shared" si="9"/>
        <v>0.13515258468557656</v>
      </c>
    </row>
    <row r="152" spans="1:6" ht="15" customHeight="1" x14ac:dyDescent="0.2">
      <c r="A152" s="147">
        <v>20</v>
      </c>
      <c r="B152" s="169" t="s">
        <v>279</v>
      </c>
      <c r="C152" s="157">
        <v>2389985</v>
      </c>
      <c r="D152" s="157">
        <v>2356665</v>
      </c>
      <c r="E152" s="157">
        <f t="shared" si="8"/>
        <v>-33320</v>
      </c>
      <c r="F152" s="161">
        <f t="shared" si="9"/>
        <v>-1.394151009315958E-2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490221</v>
      </c>
      <c r="D155" s="157">
        <v>519389</v>
      </c>
      <c r="E155" s="157">
        <f t="shared" si="8"/>
        <v>29168</v>
      </c>
      <c r="F155" s="161">
        <f t="shared" si="9"/>
        <v>5.9499695035504396E-2</v>
      </c>
    </row>
    <row r="156" spans="1:6" ht="15" customHeight="1" x14ac:dyDescent="0.2">
      <c r="A156" s="147">
        <v>24</v>
      </c>
      <c r="B156" s="169" t="s">
        <v>283</v>
      </c>
      <c r="C156" s="157">
        <v>13815196</v>
      </c>
      <c r="D156" s="157">
        <v>14271818</v>
      </c>
      <c r="E156" s="157">
        <f t="shared" si="8"/>
        <v>456622</v>
      </c>
      <c r="F156" s="161">
        <f t="shared" si="9"/>
        <v>3.3052155032762473E-2</v>
      </c>
    </row>
    <row r="157" spans="1:6" ht="15" customHeight="1" x14ac:dyDescent="0.2">
      <c r="A157" s="147">
        <v>25</v>
      </c>
      <c r="B157" s="169" t="s">
        <v>284</v>
      </c>
      <c r="C157" s="157">
        <v>1066530</v>
      </c>
      <c r="D157" s="157">
        <v>662808</v>
      </c>
      <c r="E157" s="157">
        <f t="shared" si="8"/>
        <v>-403722</v>
      </c>
      <c r="F157" s="161">
        <f t="shared" si="9"/>
        <v>-0.37853787516525556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468157</v>
      </c>
      <c r="D159" s="157">
        <v>279927</v>
      </c>
      <c r="E159" s="157">
        <f t="shared" si="8"/>
        <v>-188230</v>
      </c>
      <c r="F159" s="161">
        <f t="shared" si="9"/>
        <v>-0.40206597359432839</v>
      </c>
    </row>
    <row r="160" spans="1:6" ht="15" customHeight="1" x14ac:dyDescent="0.2">
      <c r="A160" s="147">
        <v>28</v>
      </c>
      <c r="B160" s="169" t="s">
        <v>287</v>
      </c>
      <c r="C160" s="157">
        <v>2060347</v>
      </c>
      <c r="D160" s="157">
        <v>2090581</v>
      </c>
      <c r="E160" s="157">
        <f t="shared" si="8"/>
        <v>30234</v>
      </c>
      <c r="F160" s="161">
        <f t="shared" si="9"/>
        <v>1.4674227205417339E-2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636856</v>
      </c>
      <c r="D162" s="157">
        <v>618760</v>
      </c>
      <c r="E162" s="157">
        <f t="shared" si="8"/>
        <v>-18096</v>
      </c>
      <c r="F162" s="161">
        <f t="shared" si="9"/>
        <v>-2.8414586656952279E-2</v>
      </c>
    </row>
    <row r="163" spans="1:6" ht="15" customHeight="1" x14ac:dyDescent="0.2">
      <c r="A163" s="147">
        <v>31</v>
      </c>
      <c r="B163" s="169" t="s">
        <v>290</v>
      </c>
      <c r="C163" s="157">
        <v>688778</v>
      </c>
      <c r="D163" s="157">
        <v>710692</v>
      </c>
      <c r="E163" s="157">
        <f t="shared" si="8"/>
        <v>21914</v>
      </c>
      <c r="F163" s="161">
        <f t="shared" si="9"/>
        <v>3.1815766473377492E-2</v>
      </c>
    </row>
    <row r="164" spans="1:6" ht="15" customHeight="1" x14ac:dyDescent="0.2">
      <c r="A164" s="147">
        <v>32</v>
      </c>
      <c r="B164" s="169" t="s">
        <v>291</v>
      </c>
      <c r="C164" s="157">
        <v>3137530</v>
      </c>
      <c r="D164" s="157">
        <v>3347868</v>
      </c>
      <c r="E164" s="157">
        <f t="shared" si="8"/>
        <v>210338</v>
      </c>
      <c r="F164" s="161">
        <f t="shared" si="9"/>
        <v>6.70393589862089E-2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494614</v>
      </c>
      <c r="D166" s="157">
        <v>559563</v>
      </c>
      <c r="E166" s="157">
        <f t="shared" si="8"/>
        <v>64949</v>
      </c>
      <c r="F166" s="161">
        <f t="shared" si="9"/>
        <v>0.13131249823094374</v>
      </c>
    </row>
    <row r="167" spans="1:6" ht="15.75" customHeight="1" x14ac:dyDescent="0.25">
      <c r="A167" s="147"/>
      <c r="B167" s="165" t="s">
        <v>294</v>
      </c>
      <c r="C167" s="158">
        <f>SUM(C133:C166)</f>
        <v>97873498</v>
      </c>
      <c r="D167" s="158">
        <f>SUM(D133:D166)</f>
        <v>98946347</v>
      </c>
      <c r="E167" s="158">
        <f t="shared" si="8"/>
        <v>1072849</v>
      </c>
      <c r="F167" s="159">
        <f t="shared" si="9"/>
        <v>1.0961588396482978E-2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16340204</v>
      </c>
      <c r="D170" s="157">
        <v>17244021</v>
      </c>
      <c r="E170" s="157">
        <f t="shared" ref="E170:E183" si="10">D170-C170</f>
        <v>903817</v>
      </c>
      <c r="F170" s="161">
        <f t="shared" ref="F170:F183" si="11">IF(C170=0,0,E170/C170)</f>
        <v>5.5312467335169133E-2</v>
      </c>
    </row>
    <row r="171" spans="1:6" ht="15" customHeight="1" x14ac:dyDescent="0.2">
      <c r="A171" s="147">
        <v>2</v>
      </c>
      <c r="B171" s="169" t="s">
        <v>297</v>
      </c>
      <c r="C171" s="157">
        <v>2458059</v>
      </c>
      <c r="D171" s="157">
        <v>3077109</v>
      </c>
      <c r="E171" s="157">
        <f t="shared" si="10"/>
        <v>619050</v>
      </c>
      <c r="F171" s="161">
        <f t="shared" si="11"/>
        <v>0.2518450533530725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780722</v>
      </c>
      <c r="D173" s="157">
        <v>776191</v>
      </c>
      <c r="E173" s="157">
        <f t="shared" si="10"/>
        <v>-4531</v>
      </c>
      <c r="F173" s="161">
        <f t="shared" si="11"/>
        <v>-5.8036023065828812E-3</v>
      </c>
    </row>
    <row r="174" spans="1:6" ht="15" customHeight="1" x14ac:dyDescent="0.2">
      <c r="A174" s="147">
        <v>5</v>
      </c>
      <c r="B174" s="169" t="s">
        <v>300</v>
      </c>
      <c r="C174" s="157">
        <v>1232150</v>
      </c>
      <c r="D174" s="157">
        <v>1290445</v>
      </c>
      <c r="E174" s="157">
        <f t="shared" si="10"/>
        <v>58295</v>
      </c>
      <c r="F174" s="161">
        <f t="shared" si="11"/>
        <v>4.7311609787769347E-2</v>
      </c>
    </row>
    <row r="175" spans="1:6" ht="15" customHeight="1" x14ac:dyDescent="0.2">
      <c r="A175" s="147">
        <v>6</v>
      </c>
      <c r="B175" s="169" t="s">
        <v>301</v>
      </c>
      <c r="C175" s="157">
        <v>4057292</v>
      </c>
      <c r="D175" s="157">
        <v>4076904</v>
      </c>
      <c r="E175" s="157">
        <f t="shared" si="10"/>
        <v>19612</v>
      </c>
      <c r="F175" s="161">
        <f t="shared" si="11"/>
        <v>4.8337659700115245E-3</v>
      </c>
    </row>
    <row r="176" spans="1:6" ht="15" customHeight="1" x14ac:dyDescent="0.2">
      <c r="A176" s="147">
        <v>7</v>
      </c>
      <c r="B176" s="169" t="s">
        <v>302</v>
      </c>
      <c r="C176" s="157">
        <v>1481405</v>
      </c>
      <c r="D176" s="157">
        <v>1900527</v>
      </c>
      <c r="E176" s="157">
        <f t="shared" si="10"/>
        <v>419122</v>
      </c>
      <c r="F176" s="161">
        <f t="shared" si="11"/>
        <v>0.28292195584597057</v>
      </c>
    </row>
    <row r="177" spans="1:6" ht="15" customHeight="1" x14ac:dyDescent="0.2">
      <c r="A177" s="147">
        <v>8</v>
      </c>
      <c r="B177" s="169" t="s">
        <v>303</v>
      </c>
      <c r="C177" s="157">
        <v>2873094</v>
      </c>
      <c r="D177" s="157">
        <v>2945499</v>
      </c>
      <c r="E177" s="157">
        <f t="shared" si="10"/>
        <v>72405</v>
      </c>
      <c r="F177" s="161">
        <f t="shared" si="11"/>
        <v>2.5201055029873718E-2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5317439</v>
      </c>
      <c r="D179" s="157">
        <v>5178771</v>
      </c>
      <c r="E179" s="157">
        <f t="shared" si="10"/>
        <v>-138668</v>
      </c>
      <c r="F179" s="161">
        <f t="shared" si="11"/>
        <v>-2.6077967231970128E-2</v>
      </c>
    </row>
    <row r="180" spans="1:6" ht="15" customHeight="1" x14ac:dyDescent="0.2">
      <c r="A180" s="147">
        <v>11</v>
      </c>
      <c r="B180" s="169" t="s">
        <v>306</v>
      </c>
      <c r="C180" s="157">
        <v>823805</v>
      </c>
      <c r="D180" s="157">
        <v>786798</v>
      </c>
      <c r="E180" s="157">
        <f t="shared" si="10"/>
        <v>-37007</v>
      </c>
      <c r="F180" s="161">
        <f t="shared" si="11"/>
        <v>-4.4922038589229246E-2</v>
      </c>
    </row>
    <row r="181" spans="1:6" ht="15" customHeight="1" x14ac:dyDescent="0.2">
      <c r="A181" s="147">
        <v>12</v>
      </c>
      <c r="B181" s="169" t="s">
        <v>307</v>
      </c>
      <c r="C181" s="157">
        <v>3548695</v>
      </c>
      <c r="D181" s="157">
        <v>3517951</v>
      </c>
      <c r="E181" s="157">
        <f t="shared" si="10"/>
        <v>-30744</v>
      </c>
      <c r="F181" s="161">
        <f t="shared" si="11"/>
        <v>-8.6634664292084829E-3</v>
      </c>
    </row>
    <row r="182" spans="1:6" ht="15" customHeight="1" x14ac:dyDescent="0.2">
      <c r="A182" s="147">
        <v>13</v>
      </c>
      <c r="B182" s="169" t="s">
        <v>308</v>
      </c>
      <c r="C182" s="157">
        <v>137731</v>
      </c>
      <c r="D182" s="157">
        <v>192935</v>
      </c>
      <c r="E182" s="157">
        <f t="shared" si="10"/>
        <v>55204</v>
      </c>
      <c r="F182" s="161">
        <f t="shared" si="11"/>
        <v>0.40081027510146588</v>
      </c>
    </row>
    <row r="183" spans="1:6" ht="15.75" customHeight="1" x14ac:dyDescent="0.25">
      <c r="A183" s="147"/>
      <c r="B183" s="165" t="s">
        <v>309</v>
      </c>
      <c r="C183" s="158">
        <f>SUM(C170:C182)</f>
        <v>39050596</v>
      </c>
      <c r="D183" s="158">
        <f>SUM(D170:D182)</f>
        <v>40987151</v>
      </c>
      <c r="E183" s="158">
        <f t="shared" si="10"/>
        <v>1936555</v>
      </c>
      <c r="F183" s="159">
        <f t="shared" si="11"/>
        <v>4.9590920456118008E-2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328168956</v>
      </c>
      <c r="D188" s="158">
        <f>+D186+D183+D167+D130+D121</f>
        <v>342552775</v>
      </c>
      <c r="E188" s="158">
        <f>D188-C188</f>
        <v>14383819</v>
      </c>
      <c r="F188" s="159">
        <f>IF(C188=0,0,E188/C188)</f>
        <v>4.3830529174124562E-2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332207000</v>
      </c>
      <c r="D11" s="183">
        <v>340737210</v>
      </c>
      <c r="E11" s="76">
        <v>353306227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17848000</v>
      </c>
      <c r="D12" s="185">
        <v>19910474</v>
      </c>
      <c r="E12" s="185">
        <v>20185603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350055000</v>
      </c>
      <c r="D13" s="76">
        <f>+D11+D12</f>
        <v>360647684</v>
      </c>
      <c r="E13" s="76">
        <f>+E11+E12</f>
        <v>373491830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317854000</v>
      </c>
      <c r="D14" s="185">
        <v>328168956</v>
      </c>
      <c r="E14" s="185">
        <v>342552775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32201000</v>
      </c>
      <c r="D15" s="76">
        <f>+D13-D14</f>
        <v>32478728</v>
      </c>
      <c r="E15" s="76">
        <f>+E13-E14</f>
        <v>30939055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4171000</v>
      </c>
      <c r="D16" s="185">
        <v>-5622559</v>
      </c>
      <c r="E16" s="185">
        <v>3766514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36372000</v>
      </c>
      <c r="D17" s="76">
        <f>D15+D16</f>
        <v>26856169</v>
      </c>
      <c r="E17" s="76">
        <f>E15+E16</f>
        <v>34705569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9.0905241286636213E-2</v>
      </c>
      <c r="D20" s="189">
        <f>IF(+D27=0,0,+D24/+D27)</f>
        <v>9.1482899977853679E-2</v>
      </c>
      <c r="E20" s="189">
        <f>IF(+E27=0,0,+E24/+E27)</f>
        <v>8.2010260321770376E-2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1.1774968522920395E-2</v>
      </c>
      <c r="D21" s="189">
        <f>IF(D27=0,0,+D26/D27)</f>
        <v>-1.583707350289645E-2</v>
      </c>
      <c r="E21" s="189">
        <f>IF(E27=0,0,+E26/E27)</f>
        <v>9.9839117143556144E-3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0.10268020980955661</v>
      </c>
      <c r="D22" s="189">
        <f>IF(D27=0,0,+D28/D27)</f>
        <v>7.5645826474957226E-2</v>
      </c>
      <c r="E22" s="189">
        <f>IF(E27=0,0,+E28/E27)</f>
        <v>9.199417203612599E-2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32201000</v>
      </c>
      <c r="D24" s="76">
        <f>+D15</f>
        <v>32478728</v>
      </c>
      <c r="E24" s="76">
        <f>+E15</f>
        <v>30939055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350055000</v>
      </c>
      <c r="D25" s="76">
        <f>+D13</f>
        <v>360647684</v>
      </c>
      <c r="E25" s="76">
        <f>+E13</f>
        <v>373491830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4171000</v>
      </c>
      <c r="D26" s="76">
        <f>+D16</f>
        <v>-5622559</v>
      </c>
      <c r="E26" s="76">
        <f>+E16</f>
        <v>3766514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354226000</v>
      </c>
      <c r="D27" s="76">
        <f>+D25+D26</f>
        <v>355025125</v>
      </c>
      <c r="E27" s="76">
        <f>+E25+E26</f>
        <v>377258344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36372000</v>
      </c>
      <c r="D28" s="76">
        <f>+D17</f>
        <v>26856169</v>
      </c>
      <c r="E28" s="76">
        <f>+E17</f>
        <v>34705569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334040000</v>
      </c>
      <c r="D31" s="76">
        <v>341118049</v>
      </c>
      <c r="E31" s="76">
        <v>336167867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401362000</v>
      </c>
      <c r="D32" s="76">
        <v>406494562</v>
      </c>
      <c r="E32" s="76">
        <v>404599652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23738000</v>
      </c>
      <c r="D33" s="76">
        <f>+D32-C32</f>
        <v>5132562</v>
      </c>
      <c r="E33" s="76">
        <f>+E32-D32</f>
        <v>-1894910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1.0628</v>
      </c>
      <c r="D34" s="193">
        <f>IF(C32=0,0,+D33/C32)</f>
        <v>1.2787862328770536E-2</v>
      </c>
      <c r="E34" s="193">
        <f>IF(D32=0,0,+E33/D32)</f>
        <v>-4.6615875761703302E-3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0.27193105258802075</v>
      </c>
      <c r="D38" s="195">
        <f>IF((D40+D41)=0,0,+D39/(D40+D41))</f>
        <v>0.27607453772750212</v>
      </c>
      <c r="E38" s="195">
        <f>IF((E40+E41)=0,0,+E39/(E40+E41))</f>
        <v>0.28485389966831409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317854000</v>
      </c>
      <c r="D39" s="76">
        <v>328168956</v>
      </c>
      <c r="E39" s="196">
        <v>342552775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1149848623</v>
      </c>
      <c r="D40" s="76">
        <v>1168376918</v>
      </c>
      <c r="E40" s="196">
        <v>1181446541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19028550</v>
      </c>
      <c r="D41" s="76">
        <v>20320014</v>
      </c>
      <c r="E41" s="196">
        <v>21109490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1.4783025239346388</v>
      </c>
      <c r="D43" s="197">
        <f>IF(D38=0,0,IF((D46-D47)=0,0,((+D44-D45)/(D46-D47)/D38)))</f>
        <v>1.5367088934417781</v>
      </c>
      <c r="E43" s="197">
        <f>IF(E38=0,0,IF((E46-E47)=0,0,((+E44-E45)/(E46-E47)/E38)))</f>
        <v>1.5545863862987865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236385895</v>
      </c>
      <c r="D44" s="76">
        <v>245939003</v>
      </c>
      <c r="E44" s="196">
        <v>257114500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1960939</v>
      </c>
      <c r="D45" s="76">
        <v>4141475</v>
      </c>
      <c r="E45" s="196">
        <v>3429366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613857805</v>
      </c>
      <c r="D46" s="76">
        <v>598831331</v>
      </c>
      <c r="E46" s="196">
        <v>609212087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30705870</v>
      </c>
      <c r="D47" s="76">
        <v>28885084</v>
      </c>
      <c r="E47" s="76">
        <v>36339569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0.75056928559351388</v>
      </c>
      <c r="D49" s="198">
        <f>IF(D38=0,0,IF(D51=0,0,(D50/D51)/D38))</f>
        <v>0.70491760227268341</v>
      </c>
      <c r="E49" s="198">
        <f>IF(E38=0,0,IF(E51=0,0,(E50/E51)/E38))</f>
        <v>0.72202764876580316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95063111</v>
      </c>
      <c r="D50" s="199">
        <v>95044997</v>
      </c>
      <c r="E50" s="199">
        <v>100700704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465760260</v>
      </c>
      <c r="D51" s="199">
        <v>488387514</v>
      </c>
      <c r="E51" s="199">
        <v>489617023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0.75113858858774096</v>
      </c>
      <c r="D53" s="198">
        <f>IF(D38=0,0,IF(D55=0,0,(D54/D55)/D38))</f>
        <v>0.60551272118203836</v>
      </c>
      <c r="E53" s="198">
        <f>IF(E38=0,0,IF(E55=0,0,(E54/E55)/E38))</f>
        <v>0.60670079293325263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8455090</v>
      </c>
      <c r="D54" s="199">
        <v>8229030</v>
      </c>
      <c r="E54" s="199">
        <v>8767839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41394187</v>
      </c>
      <c r="D55" s="199">
        <v>49226507</v>
      </c>
      <c r="E55" s="199">
        <v>50733618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12192361.042530173</v>
      </c>
      <c r="D57" s="88">
        <f>+D60*D38</f>
        <v>9073932.87506992</v>
      </c>
      <c r="E57" s="88">
        <f>+E60*E38</f>
        <v>11753584.922187943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19751377</v>
      </c>
      <c r="D58" s="199">
        <v>20529798</v>
      </c>
      <c r="E58" s="199">
        <v>25342402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25084845</v>
      </c>
      <c r="D59" s="199">
        <v>12337894</v>
      </c>
      <c r="E59" s="199">
        <v>15919399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44836222</v>
      </c>
      <c r="D60" s="76">
        <v>32867692</v>
      </c>
      <c r="E60" s="201">
        <v>41261801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3.8358369070485739E-2</v>
      </c>
      <c r="D62" s="202">
        <f>IF(D63=0,0,+D57/D63)</f>
        <v>2.7650186616280426E-2</v>
      </c>
      <c r="E62" s="202">
        <f>IF(E63=0,0,+E57/E63)</f>
        <v>3.4311749254368008E-2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317854000</v>
      </c>
      <c r="D63" s="199">
        <v>328168956</v>
      </c>
      <c r="E63" s="199">
        <v>342552775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2.86938826961517</v>
      </c>
      <c r="D67" s="203">
        <f>IF(D69=0,0,D68/D69)</f>
        <v>3.3977276028200039</v>
      </c>
      <c r="E67" s="203">
        <f>IF(E69=0,0,E68/E69)</f>
        <v>3.4283319732015727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159340000</v>
      </c>
      <c r="D68" s="204">
        <v>177441625</v>
      </c>
      <c r="E68" s="204">
        <v>221290834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55531000</v>
      </c>
      <c r="D69" s="204">
        <v>52223617</v>
      </c>
      <c r="E69" s="204">
        <v>64547668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94.382265084919339</v>
      </c>
      <c r="D71" s="203">
        <f>IF((D77/365)=0,0,+D74/(D77/365))</f>
        <v>118.21222920614449</v>
      </c>
      <c r="E71" s="203">
        <f>IF((E77/365)=0,0,+E74/(E77/365))</f>
        <v>151.32561882114274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43811000</v>
      </c>
      <c r="D72" s="183">
        <v>25899478</v>
      </c>
      <c r="E72" s="183">
        <v>16096633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31934000</v>
      </c>
      <c r="D73" s="206">
        <v>72659059</v>
      </c>
      <c r="E73" s="206">
        <v>116197327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75745000</v>
      </c>
      <c r="D74" s="204">
        <f>+D72+D73</f>
        <v>98558537</v>
      </c>
      <c r="E74" s="204">
        <f>+E72+E73</f>
        <v>132293960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317854000</v>
      </c>
      <c r="D75" s="204">
        <f>+D14</f>
        <v>328168956</v>
      </c>
      <c r="E75" s="204">
        <f>+E14</f>
        <v>342552775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24929000</v>
      </c>
      <c r="D76" s="204">
        <v>23853013</v>
      </c>
      <c r="E76" s="204">
        <v>23457464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292925000</v>
      </c>
      <c r="D77" s="204">
        <f>+D75-D76</f>
        <v>304315943</v>
      </c>
      <c r="E77" s="204">
        <f>+E75-E76</f>
        <v>319095311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40.710853202972842</v>
      </c>
      <c r="D79" s="203">
        <f>IF((D84/365)=0,0,+D83/(D84/365))</f>
        <v>40.37055172224953</v>
      </c>
      <c r="E79" s="203">
        <f>IF((E84/365)=0,0,+E83/(E84/365))</f>
        <v>38.794966837649312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37984000</v>
      </c>
      <c r="D80" s="212">
        <v>38149419</v>
      </c>
      <c r="E80" s="212">
        <v>37664498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930766</v>
      </c>
      <c r="D82" s="212">
        <v>462435</v>
      </c>
      <c r="E82" s="212">
        <v>112434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37053234</v>
      </c>
      <c r="D83" s="212">
        <f>+D80+D81-D82</f>
        <v>37686984</v>
      </c>
      <c r="E83" s="212">
        <f>+E80+E81-E82</f>
        <v>37552064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332207000</v>
      </c>
      <c r="D84" s="204">
        <f>+D11</f>
        <v>340737210</v>
      </c>
      <c r="E84" s="204">
        <f>+E11</f>
        <v>353306227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69.194554920201412</v>
      </c>
      <c r="D86" s="203">
        <f>IF((D90/365)=0,0,+D87/(D90/365))</f>
        <v>62.637599650833941</v>
      </c>
      <c r="E86" s="203">
        <f>IF((E90/365)=0,0,+E87/(E90/365))</f>
        <v>73.833422202810112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55531000</v>
      </c>
      <c r="D87" s="76">
        <f>+D69</f>
        <v>52223617</v>
      </c>
      <c r="E87" s="76">
        <f>+E69</f>
        <v>64547668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317854000</v>
      </c>
      <c r="D88" s="76">
        <f t="shared" si="0"/>
        <v>328168956</v>
      </c>
      <c r="E88" s="76">
        <f t="shared" si="0"/>
        <v>342552775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24929000</v>
      </c>
      <c r="D89" s="201">
        <f t="shared" si="0"/>
        <v>23853013</v>
      </c>
      <c r="E89" s="201">
        <f t="shared" si="0"/>
        <v>23457464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292925000</v>
      </c>
      <c r="D90" s="76">
        <f>+D88-D89</f>
        <v>304315943</v>
      </c>
      <c r="E90" s="76">
        <f>+E88-E89</f>
        <v>319095311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70.827046705454052</v>
      </c>
      <c r="D94" s="214">
        <f>IF(D96=0,0,(D95/D96)*100)</f>
        <v>71.226342955399218</v>
      </c>
      <c r="E94" s="214">
        <f>IF(E96=0,0,(E95/E96)*100)</f>
        <v>66.996586890221792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401362000</v>
      </c>
      <c r="D95" s="76">
        <f>+D32</f>
        <v>406494562</v>
      </c>
      <c r="E95" s="76">
        <f>+E32</f>
        <v>404599652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566679000</v>
      </c>
      <c r="D96" s="76">
        <v>570708175</v>
      </c>
      <c r="E96" s="76">
        <v>603910842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67.634273357164915</v>
      </c>
      <c r="D98" s="214">
        <f>IF(D104=0,0,(D101/D104)*100)</f>
        <v>59.901967331177353</v>
      </c>
      <c r="E98" s="214">
        <f>IF(E104=0,0,(E101/E104)*100)</f>
        <v>61.989005582577704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36372000</v>
      </c>
      <c r="D99" s="76">
        <f>+D28</f>
        <v>26856169</v>
      </c>
      <c r="E99" s="76">
        <f>+E28</f>
        <v>34705569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24929000</v>
      </c>
      <c r="D100" s="201">
        <f>+D76</f>
        <v>23853013</v>
      </c>
      <c r="E100" s="201">
        <f>+E76</f>
        <v>23457464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61301000</v>
      </c>
      <c r="D101" s="76">
        <f>+D99+D100</f>
        <v>50709182</v>
      </c>
      <c r="E101" s="76">
        <f>+E99+E100</f>
        <v>58163033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55531000</v>
      </c>
      <c r="D102" s="204">
        <f>+D69</f>
        <v>52223617</v>
      </c>
      <c r="E102" s="204">
        <f>+E69</f>
        <v>64547668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35105000</v>
      </c>
      <c r="D103" s="216">
        <v>32430000</v>
      </c>
      <c r="E103" s="216">
        <v>29280314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90636000</v>
      </c>
      <c r="D104" s="204">
        <f>+D102+D103</f>
        <v>84653617</v>
      </c>
      <c r="E104" s="204">
        <f>+E102+E103</f>
        <v>93827982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8.0429906499231336</v>
      </c>
      <c r="D106" s="214">
        <f>IF(D109=0,0,(D107/D109)*100)</f>
        <v>7.3885133819419284</v>
      </c>
      <c r="E106" s="214">
        <f>IF(E109=0,0,(E107/E109)*100)</f>
        <v>6.7484825976039646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35105000</v>
      </c>
      <c r="D107" s="204">
        <f>+D103</f>
        <v>32430000</v>
      </c>
      <c r="E107" s="204">
        <f>+E103</f>
        <v>29280314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401362000</v>
      </c>
      <c r="D108" s="204">
        <f>+D32</f>
        <v>406494562</v>
      </c>
      <c r="E108" s="204">
        <f>+E32</f>
        <v>404599652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436467000</v>
      </c>
      <c r="D109" s="204">
        <f>+D107+D108</f>
        <v>438924562</v>
      </c>
      <c r="E109" s="204">
        <f>+E107+E108</f>
        <v>433879966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21.644662921348313</v>
      </c>
      <c r="D111" s="214">
        <f>IF((+D113+D115)=0,0,((+D112+D113+D114)/(+D113+D115)))</f>
        <v>17.501488435211733</v>
      </c>
      <c r="E111" s="214">
        <f>IF((+E113+E115)=0,0,((+E112+E113+E114)/(+E113+E115)))</f>
        <v>19.495092410410283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36372000</v>
      </c>
      <c r="D112" s="76">
        <f>+D17</f>
        <v>26856169</v>
      </c>
      <c r="E112" s="76">
        <f>+E17</f>
        <v>34705569</v>
      </c>
    </row>
    <row r="113" spans="1:8" ht="24" customHeight="1" x14ac:dyDescent="0.2">
      <c r="A113" s="85">
        <v>17</v>
      </c>
      <c r="B113" s="75" t="s">
        <v>88</v>
      </c>
      <c r="C113" s="218">
        <v>343000</v>
      </c>
      <c r="D113" s="76">
        <v>310142</v>
      </c>
      <c r="E113" s="76">
        <v>325149</v>
      </c>
    </row>
    <row r="114" spans="1:8" ht="24" customHeight="1" x14ac:dyDescent="0.2">
      <c r="A114" s="85">
        <v>18</v>
      </c>
      <c r="B114" s="75" t="s">
        <v>374</v>
      </c>
      <c r="C114" s="218">
        <v>24929000</v>
      </c>
      <c r="D114" s="76">
        <v>23853013</v>
      </c>
      <c r="E114" s="76">
        <v>23457464</v>
      </c>
    </row>
    <row r="115" spans="1:8" ht="24" customHeight="1" x14ac:dyDescent="0.2">
      <c r="A115" s="85">
        <v>19</v>
      </c>
      <c r="B115" s="75" t="s">
        <v>104</v>
      </c>
      <c r="C115" s="218">
        <v>2505000</v>
      </c>
      <c r="D115" s="76">
        <v>2605000</v>
      </c>
      <c r="E115" s="76">
        <v>2675000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8.5433430943880619</v>
      </c>
      <c r="D119" s="214">
        <f>IF(+D121=0,0,(+D120)/(+D121))</f>
        <v>9.7175935803162474</v>
      </c>
      <c r="E119" s="214">
        <f>IF(+E121=0,0,(+E120)/(+E121))</f>
        <v>10.652144238609937</v>
      </c>
    </row>
    <row r="120" spans="1:8" ht="24" customHeight="1" x14ac:dyDescent="0.2">
      <c r="A120" s="85">
        <v>21</v>
      </c>
      <c r="B120" s="75" t="s">
        <v>378</v>
      </c>
      <c r="C120" s="218">
        <v>212977000</v>
      </c>
      <c r="D120" s="218">
        <v>231793886</v>
      </c>
      <c r="E120" s="218">
        <v>249872290</v>
      </c>
    </row>
    <row r="121" spans="1:8" ht="24" customHeight="1" x14ac:dyDescent="0.2">
      <c r="A121" s="85">
        <v>22</v>
      </c>
      <c r="B121" s="75" t="s">
        <v>374</v>
      </c>
      <c r="C121" s="218">
        <v>24929000</v>
      </c>
      <c r="D121" s="218">
        <v>23853013</v>
      </c>
      <c r="E121" s="218">
        <v>23457464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54509</v>
      </c>
      <c r="D124" s="218">
        <v>53840</v>
      </c>
      <c r="E124" s="218">
        <v>54827</v>
      </c>
    </row>
    <row r="125" spans="1:8" ht="24" customHeight="1" x14ac:dyDescent="0.2">
      <c r="A125" s="85">
        <v>2</v>
      </c>
      <c r="B125" s="75" t="s">
        <v>381</v>
      </c>
      <c r="C125" s="218">
        <v>12538</v>
      </c>
      <c r="D125" s="218">
        <v>13296</v>
      </c>
      <c r="E125" s="218">
        <v>13077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4.3475035890891691</v>
      </c>
      <c r="D126" s="219">
        <f>IF(D125=0,0,D124/D125)</f>
        <v>4.0493381468110714</v>
      </c>
      <c r="E126" s="219">
        <f>IF(E125=0,0,E124/E125)</f>
        <v>4.1926282786571845</v>
      </c>
    </row>
    <row r="127" spans="1:8" ht="24" customHeight="1" x14ac:dyDescent="0.2">
      <c r="A127" s="85">
        <v>4</v>
      </c>
      <c r="B127" s="75" t="s">
        <v>383</v>
      </c>
      <c r="C127" s="218">
        <v>206</v>
      </c>
      <c r="D127" s="218">
        <v>206</v>
      </c>
      <c r="E127" s="218">
        <v>206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206</v>
      </c>
      <c r="E128" s="218">
        <v>206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206</v>
      </c>
      <c r="D129" s="218">
        <v>206</v>
      </c>
      <c r="E129" s="218">
        <v>206</v>
      </c>
    </row>
    <row r="130" spans="1:7" ht="24" customHeight="1" x14ac:dyDescent="0.2">
      <c r="A130" s="85">
        <v>7</v>
      </c>
      <c r="B130" s="75" t="s">
        <v>386</v>
      </c>
      <c r="C130" s="193">
        <v>0.72489999999999999</v>
      </c>
      <c r="D130" s="193">
        <v>0.71599999999999997</v>
      </c>
      <c r="E130" s="193">
        <v>0.72909999999999997</v>
      </c>
    </row>
    <row r="131" spans="1:7" ht="24" customHeight="1" x14ac:dyDescent="0.2">
      <c r="A131" s="85">
        <v>8</v>
      </c>
      <c r="B131" s="75" t="s">
        <v>387</v>
      </c>
      <c r="C131" s="193">
        <v>0.72489999999999999</v>
      </c>
      <c r="D131" s="193">
        <v>0.71599999999999997</v>
      </c>
      <c r="E131" s="193">
        <v>0.72909999999999997</v>
      </c>
    </row>
    <row r="132" spans="1:7" ht="24" customHeight="1" x14ac:dyDescent="0.2">
      <c r="A132" s="85">
        <v>9</v>
      </c>
      <c r="B132" s="75" t="s">
        <v>388</v>
      </c>
      <c r="C132" s="219">
        <v>1475.3</v>
      </c>
      <c r="D132" s="219">
        <v>1475.7</v>
      </c>
      <c r="E132" s="219">
        <v>1520.2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0.5071553970978665</v>
      </c>
      <c r="D135" s="227">
        <f>IF(D149=0,0,D143/D149)</f>
        <v>0.48781025901780095</v>
      </c>
      <c r="E135" s="227">
        <f>IF(E149=0,0,E143/E149)</f>
        <v>0.4848907657853983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0.40506224096247839</v>
      </c>
      <c r="D136" s="227">
        <f>IF(D149=0,0,D144/D149)</f>
        <v>0.41800510304158545</v>
      </c>
      <c r="E136" s="227">
        <f>IF(E149=0,0,E144/E149)</f>
        <v>0.41442164838501988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3.5999683934047726E-2</v>
      </c>
      <c r="D137" s="227">
        <f>IF(D149=0,0,D145/D149)</f>
        <v>4.2132385740951447E-2</v>
      </c>
      <c r="E137" s="227">
        <f>IF(E149=0,0,E145/E149)</f>
        <v>4.2941949753442121E-2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2.4189846770812717E-2</v>
      </c>
      <c r="D138" s="227">
        <f>IF(D149=0,0,D146/D149)</f>
        <v>2.6351856601809383E-2</v>
      </c>
      <c r="E138" s="227">
        <f>IF(E149=0,0,E146/E149)</f>
        <v>2.6107622249156002E-2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2.6704271663070905E-2</v>
      </c>
      <c r="D139" s="227">
        <f>IF(D149=0,0,D147/D149)</f>
        <v>2.4722402124688327E-2</v>
      </c>
      <c r="E139" s="227">
        <f>IF(E149=0,0,E147/E149)</f>
        <v>3.0758538570218725E-2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8.8855957172372937E-4</v>
      </c>
      <c r="D140" s="227">
        <f>IF(D149=0,0,D148/D149)</f>
        <v>9.779934731644535E-4</v>
      </c>
      <c r="E140" s="227">
        <f>IF(E149=0,0,E148/E149)</f>
        <v>8.7947525676491869E-4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583151935</v>
      </c>
      <c r="D143" s="229">
        <f>+D46-D147</f>
        <v>569946247</v>
      </c>
      <c r="E143" s="229">
        <f>+E46-E147</f>
        <v>572872518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465760260</v>
      </c>
      <c r="D144" s="229">
        <f>+D51</f>
        <v>488387514</v>
      </c>
      <c r="E144" s="229">
        <f>+E51</f>
        <v>489617023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41394187</v>
      </c>
      <c r="D145" s="229">
        <f>+D55</f>
        <v>49226507</v>
      </c>
      <c r="E145" s="229">
        <f>+E55</f>
        <v>50733618</v>
      </c>
    </row>
    <row r="146" spans="1:7" ht="20.100000000000001" customHeight="1" x14ac:dyDescent="0.2">
      <c r="A146" s="226">
        <v>11</v>
      </c>
      <c r="B146" s="224" t="s">
        <v>400</v>
      </c>
      <c r="C146" s="228">
        <v>27814662</v>
      </c>
      <c r="D146" s="229">
        <v>30788901</v>
      </c>
      <c r="E146" s="229">
        <v>30844760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30705870</v>
      </c>
      <c r="D147" s="229">
        <f>+D47</f>
        <v>28885084</v>
      </c>
      <c r="E147" s="229">
        <f>+E47</f>
        <v>36339569</v>
      </c>
    </row>
    <row r="148" spans="1:7" ht="20.100000000000001" customHeight="1" x14ac:dyDescent="0.2">
      <c r="A148" s="226">
        <v>13</v>
      </c>
      <c r="B148" s="224" t="s">
        <v>402</v>
      </c>
      <c r="C148" s="230">
        <v>1021709</v>
      </c>
      <c r="D148" s="229">
        <v>1142665</v>
      </c>
      <c r="E148" s="229">
        <v>1039053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1149848623</v>
      </c>
      <c r="D149" s="229">
        <f>SUM(D143:D148)</f>
        <v>1168376918</v>
      </c>
      <c r="E149" s="229">
        <f>SUM(E143:E148)</f>
        <v>1181446541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0.68166718788494174</v>
      </c>
      <c r="D152" s="227">
        <f>IF(D166=0,0,D160/D166)</f>
        <v>0.68161329480872734</v>
      </c>
      <c r="E152" s="227">
        <f>IF(E166=0,0,E160/E166)</f>
        <v>0.68114746268911597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0.27642706925351446</v>
      </c>
      <c r="D153" s="227">
        <f>IF(D166=0,0,D161/D166)</f>
        <v>0.26792636837981076</v>
      </c>
      <c r="E153" s="227">
        <f>IF(E166=0,0,E161/E166)</f>
        <v>0.27038253262647904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2.4585937956256212E-2</v>
      </c>
      <c r="D154" s="227">
        <f>IF(D166=0,0,D162/D166)</f>
        <v>2.3197161268662191E-2</v>
      </c>
      <c r="E154" s="227">
        <f>IF(E166=0,0,E162/E166)</f>
        <v>2.3541747180647471E-2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1.0663300667077585E-2</v>
      </c>
      <c r="D155" s="227">
        <f>IF(D166=0,0,D163/D166)</f>
        <v>1.489873619061801E-2</v>
      </c>
      <c r="E155" s="227">
        <f>IF(E166=0,0,E163/E166)</f>
        <v>1.5272814403786318E-2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5.702071129935116E-3</v>
      </c>
      <c r="D156" s="227">
        <f>IF(D166=0,0,D164/D166)</f>
        <v>1.1674579320422061E-2</v>
      </c>
      <c r="E156" s="227">
        <f>IF(E166=0,0,E164/E166)</f>
        <v>9.2078866140115363E-3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9.5443310827489944E-4</v>
      </c>
      <c r="D157" s="227">
        <f>IF(D166=0,0,D165/D166)</f>
        <v>6.8986003175961408E-4</v>
      </c>
      <c r="E157" s="227">
        <f>IF(E166=0,0,E165/E166)</f>
        <v>4.4755648595971994E-4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234424956</v>
      </c>
      <c r="D160" s="229">
        <f>+D44-D164</f>
        <v>241797528</v>
      </c>
      <c r="E160" s="229">
        <f>+E44-E164</f>
        <v>253685134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95063111</v>
      </c>
      <c r="D161" s="229">
        <f>+D50</f>
        <v>95044997</v>
      </c>
      <c r="E161" s="229">
        <f>+E50</f>
        <v>100700704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8455090</v>
      </c>
      <c r="D162" s="229">
        <f>+D54</f>
        <v>8229030</v>
      </c>
      <c r="E162" s="229">
        <f>+E54</f>
        <v>8767839</v>
      </c>
    </row>
    <row r="163" spans="1:6" ht="20.100000000000001" customHeight="1" x14ac:dyDescent="0.2">
      <c r="A163" s="226">
        <v>11</v>
      </c>
      <c r="B163" s="224" t="s">
        <v>415</v>
      </c>
      <c r="C163" s="228">
        <v>3667103</v>
      </c>
      <c r="D163" s="229">
        <v>5285222</v>
      </c>
      <c r="E163" s="229">
        <v>5688175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1960939</v>
      </c>
      <c r="D164" s="229">
        <f>+D45</f>
        <v>4141475</v>
      </c>
      <c r="E164" s="229">
        <f>+E45</f>
        <v>3429366</v>
      </c>
    </row>
    <row r="165" spans="1:6" ht="20.100000000000001" customHeight="1" x14ac:dyDescent="0.2">
      <c r="A165" s="226">
        <v>13</v>
      </c>
      <c r="B165" s="224" t="s">
        <v>417</v>
      </c>
      <c r="C165" s="230">
        <v>328229</v>
      </c>
      <c r="D165" s="229">
        <v>244723</v>
      </c>
      <c r="E165" s="229">
        <v>166687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343899428</v>
      </c>
      <c r="D166" s="229">
        <f>SUM(D160:D165)</f>
        <v>354742975</v>
      </c>
      <c r="E166" s="229">
        <f>SUM(E160:E165)</f>
        <v>372437905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7182</v>
      </c>
      <c r="D169" s="218">
        <v>7654</v>
      </c>
      <c r="E169" s="218">
        <v>7782</v>
      </c>
    </row>
    <row r="170" spans="1:6" ht="20.100000000000001" customHeight="1" x14ac:dyDescent="0.2">
      <c r="A170" s="226">
        <v>2</v>
      </c>
      <c r="B170" s="224" t="s">
        <v>420</v>
      </c>
      <c r="C170" s="218">
        <v>4545</v>
      </c>
      <c r="D170" s="218">
        <v>4713</v>
      </c>
      <c r="E170" s="218">
        <v>4330</v>
      </c>
    </row>
    <row r="171" spans="1:6" ht="20.100000000000001" customHeight="1" x14ac:dyDescent="0.2">
      <c r="A171" s="226">
        <v>3</v>
      </c>
      <c r="B171" s="224" t="s">
        <v>421</v>
      </c>
      <c r="C171" s="218">
        <v>797</v>
      </c>
      <c r="D171" s="218">
        <v>913</v>
      </c>
      <c r="E171" s="218">
        <v>953</v>
      </c>
    </row>
    <row r="172" spans="1:6" ht="20.100000000000001" customHeight="1" x14ac:dyDescent="0.2">
      <c r="A172" s="226">
        <v>4</v>
      </c>
      <c r="B172" s="224" t="s">
        <v>422</v>
      </c>
      <c r="C172" s="218">
        <v>416</v>
      </c>
      <c r="D172" s="218">
        <v>470</v>
      </c>
      <c r="E172" s="218">
        <v>515</v>
      </c>
    </row>
    <row r="173" spans="1:6" ht="20.100000000000001" customHeight="1" x14ac:dyDescent="0.2">
      <c r="A173" s="226">
        <v>5</v>
      </c>
      <c r="B173" s="224" t="s">
        <v>423</v>
      </c>
      <c r="C173" s="218">
        <v>381</v>
      </c>
      <c r="D173" s="218">
        <v>443</v>
      </c>
      <c r="E173" s="218">
        <v>438</v>
      </c>
    </row>
    <row r="174" spans="1:6" ht="20.100000000000001" customHeight="1" x14ac:dyDescent="0.2">
      <c r="A174" s="226">
        <v>6</v>
      </c>
      <c r="B174" s="224" t="s">
        <v>424</v>
      </c>
      <c r="C174" s="218">
        <v>14</v>
      </c>
      <c r="D174" s="218">
        <v>16</v>
      </c>
      <c r="E174" s="218">
        <v>12</v>
      </c>
    </row>
    <row r="175" spans="1:6" ht="20.100000000000001" customHeight="1" x14ac:dyDescent="0.2">
      <c r="A175" s="226">
        <v>7</v>
      </c>
      <c r="B175" s="224" t="s">
        <v>425</v>
      </c>
      <c r="C175" s="218">
        <v>167</v>
      </c>
      <c r="D175" s="218">
        <v>234</v>
      </c>
      <c r="E175" s="218">
        <v>246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12538</v>
      </c>
      <c r="D176" s="218">
        <f>+D169+D170+D171+D174</f>
        <v>13296</v>
      </c>
      <c r="E176" s="218">
        <f>+E169+E170+E171+E174</f>
        <v>13077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0.90366999999999997</v>
      </c>
      <c r="D179" s="231">
        <v>0.90549999999999997</v>
      </c>
      <c r="E179" s="231">
        <v>0.93523000000000001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1.57877</v>
      </c>
      <c r="D180" s="231">
        <v>1.5670500000000001</v>
      </c>
      <c r="E180" s="231">
        <v>1.66913</v>
      </c>
    </row>
    <row r="181" spans="1:6" ht="20.100000000000001" customHeight="1" x14ac:dyDescent="0.2">
      <c r="A181" s="226">
        <v>3</v>
      </c>
      <c r="B181" s="224" t="s">
        <v>421</v>
      </c>
      <c r="C181" s="231">
        <v>1.075909</v>
      </c>
      <c r="D181" s="231">
        <v>1.0067459999999999</v>
      </c>
      <c r="E181" s="231">
        <v>1.034278</v>
      </c>
    </row>
    <row r="182" spans="1:6" ht="20.100000000000001" customHeight="1" x14ac:dyDescent="0.2">
      <c r="A182" s="226">
        <v>4</v>
      </c>
      <c r="B182" s="224" t="s">
        <v>422</v>
      </c>
      <c r="C182" s="231">
        <v>0.99914999999999998</v>
      </c>
      <c r="D182" s="231">
        <v>1.0079400000000001</v>
      </c>
      <c r="E182" s="231">
        <v>1.03688</v>
      </c>
    </row>
    <row r="183" spans="1:6" ht="20.100000000000001" customHeight="1" x14ac:dyDescent="0.2">
      <c r="A183" s="226">
        <v>5</v>
      </c>
      <c r="B183" s="224" t="s">
        <v>423</v>
      </c>
      <c r="C183" s="231">
        <v>1.1597200000000001</v>
      </c>
      <c r="D183" s="231">
        <v>1.0054799999999999</v>
      </c>
      <c r="E183" s="231">
        <v>1.03122</v>
      </c>
    </row>
    <row r="184" spans="1:6" ht="20.100000000000001" customHeight="1" x14ac:dyDescent="0.2">
      <c r="A184" s="226">
        <v>6</v>
      </c>
      <c r="B184" s="224" t="s">
        <v>424</v>
      </c>
      <c r="C184" s="231">
        <v>1.0708</v>
      </c>
      <c r="D184" s="231">
        <v>0.90332999999999997</v>
      </c>
      <c r="E184" s="231">
        <v>0.68313000000000001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1.0280499999999999</v>
      </c>
      <c r="D185" s="231">
        <v>0.98980999999999997</v>
      </c>
      <c r="E185" s="231">
        <v>0.99141999999999997</v>
      </c>
    </row>
    <row r="186" spans="1:6" ht="20.100000000000001" customHeight="1" x14ac:dyDescent="0.2">
      <c r="A186" s="226">
        <v>8</v>
      </c>
      <c r="B186" s="224" t="s">
        <v>429</v>
      </c>
      <c r="C186" s="231">
        <v>1.159527</v>
      </c>
      <c r="D186" s="231">
        <v>1.1469469999999999</v>
      </c>
      <c r="E186" s="231">
        <v>1.185222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6790</v>
      </c>
      <c r="D189" s="218">
        <v>7846</v>
      </c>
      <c r="E189" s="218">
        <v>8665</v>
      </c>
    </row>
    <row r="190" spans="1:6" ht="20.100000000000001" customHeight="1" x14ac:dyDescent="0.2">
      <c r="A190" s="226">
        <v>2</v>
      </c>
      <c r="B190" s="224" t="s">
        <v>433</v>
      </c>
      <c r="C190" s="218">
        <v>32604</v>
      </c>
      <c r="D190" s="218">
        <v>31400</v>
      </c>
      <c r="E190" s="218">
        <v>30295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39394</v>
      </c>
      <c r="D191" s="218">
        <f>+D190+D189</f>
        <v>39246</v>
      </c>
      <c r="E191" s="218">
        <f>+E190+E189</f>
        <v>38960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FILING&amp;RGREENWICH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2998058</v>
      </c>
      <c r="D14" s="258">
        <v>4022098</v>
      </c>
      <c r="E14" s="258">
        <f t="shared" ref="E14:E24" si="0">D14-C14</f>
        <v>1024040</v>
      </c>
      <c r="F14" s="259">
        <f t="shared" ref="F14:F24" si="1">IF(C14=0,0,E14/C14)</f>
        <v>0.34156777487293444</v>
      </c>
    </row>
    <row r="15" spans="1:7" ht="20.25" customHeight="1" x14ac:dyDescent="0.3">
      <c r="A15" s="256">
        <v>2</v>
      </c>
      <c r="B15" s="257" t="s">
        <v>442</v>
      </c>
      <c r="C15" s="258">
        <v>700378</v>
      </c>
      <c r="D15" s="258">
        <v>955275</v>
      </c>
      <c r="E15" s="258">
        <f t="shared" si="0"/>
        <v>254897</v>
      </c>
      <c r="F15" s="259">
        <f t="shared" si="1"/>
        <v>0.36394204272549968</v>
      </c>
    </row>
    <row r="16" spans="1:7" ht="20.25" customHeight="1" x14ac:dyDescent="0.3">
      <c r="A16" s="256">
        <v>3</v>
      </c>
      <c r="B16" s="257" t="s">
        <v>443</v>
      </c>
      <c r="C16" s="258">
        <v>1596495</v>
      </c>
      <c r="D16" s="258">
        <v>2043638</v>
      </c>
      <c r="E16" s="258">
        <f t="shared" si="0"/>
        <v>447143</v>
      </c>
      <c r="F16" s="259">
        <f t="shared" si="1"/>
        <v>0.28007792069502252</v>
      </c>
    </row>
    <row r="17" spans="1:6" ht="20.25" customHeight="1" x14ac:dyDescent="0.3">
      <c r="A17" s="256">
        <v>4</v>
      </c>
      <c r="B17" s="257" t="s">
        <v>444</v>
      </c>
      <c r="C17" s="258">
        <v>255660</v>
      </c>
      <c r="D17" s="258">
        <v>312867</v>
      </c>
      <c r="E17" s="258">
        <f t="shared" si="0"/>
        <v>57207</v>
      </c>
      <c r="F17" s="259">
        <f t="shared" si="1"/>
        <v>0.2237620276930298</v>
      </c>
    </row>
    <row r="18" spans="1:6" ht="20.25" customHeight="1" x14ac:dyDescent="0.3">
      <c r="A18" s="256">
        <v>5</v>
      </c>
      <c r="B18" s="257" t="s">
        <v>381</v>
      </c>
      <c r="C18" s="260">
        <v>66</v>
      </c>
      <c r="D18" s="260">
        <v>116</v>
      </c>
      <c r="E18" s="260">
        <f t="shared" si="0"/>
        <v>50</v>
      </c>
      <c r="F18" s="259">
        <f t="shared" si="1"/>
        <v>0.75757575757575757</v>
      </c>
    </row>
    <row r="19" spans="1:6" ht="20.25" customHeight="1" x14ac:dyDescent="0.3">
      <c r="A19" s="256">
        <v>6</v>
      </c>
      <c r="B19" s="257" t="s">
        <v>380</v>
      </c>
      <c r="C19" s="260">
        <v>339</v>
      </c>
      <c r="D19" s="260">
        <v>731</v>
      </c>
      <c r="E19" s="260">
        <f t="shared" si="0"/>
        <v>392</v>
      </c>
      <c r="F19" s="259">
        <f t="shared" si="1"/>
        <v>1.1563421828908556</v>
      </c>
    </row>
    <row r="20" spans="1:6" ht="20.25" customHeight="1" x14ac:dyDescent="0.3">
      <c r="A20" s="256">
        <v>7</v>
      </c>
      <c r="B20" s="257" t="s">
        <v>445</v>
      </c>
      <c r="C20" s="260">
        <v>322</v>
      </c>
      <c r="D20" s="260">
        <v>365</v>
      </c>
      <c r="E20" s="260">
        <f t="shared" si="0"/>
        <v>43</v>
      </c>
      <c r="F20" s="259">
        <f t="shared" si="1"/>
        <v>0.13354037267080746</v>
      </c>
    </row>
    <row r="21" spans="1:6" ht="20.25" customHeight="1" x14ac:dyDescent="0.3">
      <c r="A21" s="256">
        <v>8</v>
      </c>
      <c r="B21" s="257" t="s">
        <v>446</v>
      </c>
      <c r="C21" s="260">
        <v>65</v>
      </c>
      <c r="D21" s="260">
        <v>62</v>
      </c>
      <c r="E21" s="260">
        <f t="shared" si="0"/>
        <v>-3</v>
      </c>
      <c r="F21" s="259">
        <f t="shared" si="1"/>
        <v>-4.6153846153846156E-2</v>
      </c>
    </row>
    <row r="22" spans="1:6" ht="20.25" customHeight="1" x14ac:dyDescent="0.3">
      <c r="A22" s="256">
        <v>9</v>
      </c>
      <c r="B22" s="257" t="s">
        <v>447</v>
      </c>
      <c r="C22" s="260">
        <v>56</v>
      </c>
      <c r="D22" s="260">
        <v>72</v>
      </c>
      <c r="E22" s="260">
        <f t="shared" si="0"/>
        <v>16</v>
      </c>
      <c r="F22" s="259">
        <f t="shared" si="1"/>
        <v>0.2857142857142857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4594553</v>
      </c>
      <c r="D23" s="263">
        <f>+D14+D16</f>
        <v>6065736</v>
      </c>
      <c r="E23" s="263">
        <f t="shared" si="0"/>
        <v>1471183</v>
      </c>
      <c r="F23" s="264">
        <f t="shared" si="1"/>
        <v>0.32020155170698866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956038</v>
      </c>
      <c r="D24" s="263">
        <f>+D15+D17</f>
        <v>1268142</v>
      </c>
      <c r="E24" s="263">
        <f t="shared" si="0"/>
        <v>312104</v>
      </c>
      <c r="F24" s="264">
        <f t="shared" si="1"/>
        <v>0.3264556429765344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13231</v>
      </c>
      <c r="D29" s="258">
        <v>0</v>
      </c>
      <c r="E29" s="258">
        <f t="shared" si="2"/>
        <v>-13231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2137</v>
      </c>
      <c r="D30" s="258">
        <v>0</v>
      </c>
      <c r="E30" s="258">
        <f t="shared" si="2"/>
        <v>-2137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0</v>
      </c>
      <c r="E33" s="260">
        <f t="shared" si="2"/>
        <v>-1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13231</v>
      </c>
      <c r="D36" s="263">
        <f>+D27+D29</f>
        <v>0</v>
      </c>
      <c r="E36" s="263">
        <f t="shared" si="2"/>
        <v>-13231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2137</v>
      </c>
      <c r="D37" s="263">
        <f>+D28+D30</f>
        <v>0</v>
      </c>
      <c r="E37" s="263">
        <f t="shared" si="2"/>
        <v>-2137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778753</v>
      </c>
      <c r="D40" s="258">
        <v>1221124</v>
      </c>
      <c r="E40" s="258">
        <f t="shared" ref="E40:E50" si="4">D40-C40</f>
        <v>442371</v>
      </c>
      <c r="F40" s="259">
        <f t="shared" ref="F40:F50" si="5">IF(C40=0,0,E40/C40)</f>
        <v>0.56805046015874094</v>
      </c>
    </row>
    <row r="41" spans="1:6" ht="20.25" customHeight="1" x14ac:dyDescent="0.3">
      <c r="A41" s="256">
        <v>2</v>
      </c>
      <c r="B41" s="257" t="s">
        <v>442</v>
      </c>
      <c r="C41" s="258">
        <v>150606</v>
      </c>
      <c r="D41" s="258">
        <v>322064</v>
      </c>
      <c r="E41" s="258">
        <f t="shared" si="4"/>
        <v>171458</v>
      </c>
      <c r="F41" s="259">
        <f t="shared" si="5"/>
        <v>1.1384539792571344</v>
      </c>
    </row>
    <row r="42" spans="1:6" ht="20.25" customHeight="1" x14ac:dyDescent="0.3">
      <c r="A42" s="256">
        <v>3</v>
      </c>
      <c r="B42" s="257" t="s">
        <v>443</v>
      </c>
      <c r="C42" s="258">
        <v>1465968</v>
      </c>
      <c r="D42" s="258">
        <v>1822966</v>
      </c>
      <c r="E42" s="258">
        <f t="shared" si="4"/>
        <v>356998</v>
      </c>
      <c r="F42" s="259">
        <f t="shared" si="5"/>
        <v>0.24352373312377895</v>
      </c>
    </row>
    <row r="43" spans="1:6" ht="20.25" customHeight="1" x14ac:dyDescent="0.3">
      <c r="A43" s="256">
        <v>4</v>
      </c>
      <c r="B43" s="257" t="s">
        <v>444</v>
      </c>
      <c r="C43" s="258">
        <v>225814</v>
      </c>
      <c r="D43" s="258">
        <v>248301</v>
      </c>
      <c r="E43" s="258">
        <f t="shared" si="4"/>
        <v>22487</v>
      </c>
      <c r="F43" s="259">
        <f t="shared" si="5"/>
        <v>9.9581956831728768E-2</v>
      </c>
    </row>
    <row r="44" spans="1:6" ht="20.25" customHeight="1" x14ac:dyDescent="0.3">
      <c r="A44" s="256">
        <v>5</v>
      </c>
      <c r="B44" s="257" t="s">
        <v>381</v>
      </c>
      <c r="C44" s="260">
        <v>18</v>
      </c>
      <c r="D44" s="260">
        <v>23</v>
      </c>
      <c r="E44" s="260">
        <f t="shared" si="4"/>
        <v>5</v>
      </c>
      <c r="F44" s="259">
        <f t="shared" si="5"/>
        <v>0.27777777777777779</v>
      </c>
    </row>
    <row r="45" spans="1:6" ht="20.25" customHeight="1" x14ac:dyDescent="0.3">
      <c r="A45" s="256">
        <v>6</v>
      </c>
      <c r="B45" s="257" t="s">
        <v>380</v>
      </c>
      <c r="C45" s="260">
        <v>63</v>
      </c>
      <c r="D45" s="260">
        <v>80</v>
      </c>
      <c r="E45" s="260">
        <f t="shared" si="4"/>
        <v>17</v>
      </c>
      <c r="F45" s="259">
        <f t="shared" si="5"/>
        <v>0.26984126984126983</v>
      </c>
    </row>
    <row r="46" spans="1:6" ht="20.25" customHeight="1" x14ac:dyDescent="0.3">
      <c r="A46" s="256">
        <v>7</v>
      </c>
      <c r="B46" s="257" t="s">
        <v>445</v>
      </c>
      <c r="C46" s="260">
        <v>792</v>
      </c>
      <c r="D46" s="260">
        <v>780</v>
      </c>
      <c r="E46" s="260">
        <f t="shared" si="4"/>
        <v>-12</v>
      </c>
      <c r="F46" s="259">
        <f t="shared" si="5"/>
        <v>-1.5151515151515152E-2</v>
      </c>
    </row>
    <row r="47" spans="1:6" ht="20.25" customHeight="1" x14ac:dyDescent="0.3">
      <c r="A47" s="256">
        <v>8</v>
      </c>
      <c r="B47" s="257" t="s">
        <v>446</v>
      </c>
      <c r="C47" s="260">
        <v>23</v>
      </c>
      <c r="D47" s="260">
        <v>40</v>
      </c>
      <c r="E47" s="260">
        <f t="shared" si="4"/>
        <v>17</v>
      </c>
      <c r="F47" s="259">
        <f t="shared" si="5"/>
        <v>0.73913043478260865</v>
      </c>
    </row>
    <row r="48" spans="1:6" ht="20.25" customHeight="1" x14ac:dyDescent="0.3">
      <c r="A48" s="256">
        <v>9</v>
      </c>
      <c r="B48" s="257" t="s">
        <v>447</v>
      </c>
      <c r="C48" s="260">
        <v>12</v>
      </c>
      <c r="D48" s="260">
        <v>13</v>
      </c>
      <c r="E48" s="260">
        <f t="shared" si="4"/>
        <v>1</v>
      </c>
      <c r="F48" s="259">
        <f t="shared" si="5"/>
        <v>8.3333333333333329E-2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2244721</v>
      </c>
      <c r="D49" s="263">
        <f>+D40+D42</f>
        <v>3044090</v>
      </c>
      <c r="E49" s="263">
        <f t="shared" si="4"/>
        <v>799369</v>
      </c>
      <c r="F49" s="264">
        <f t="shared" si="5"/>
        <v>0.35611062577487357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376420</v>
      </c>
      <c r="D50" s="263">
        <f>+D41+D43</f>
        <v>570365</v>
      </c>
      <c r="E50" s="263">
        <f t="shared" si="4"/>
        <v>193945</v>
      </c>
      <c r="F50" s="264">
        <f t="shared" si="5"/>
        <v>0.51523564103926467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5788330</v>
      </c>
      <c r="D66" s="258">
        <v>2766771</v>
      </c>
      <c r="E66" s="258">
        <f t="shared" ref="E66:E76" si="8">D66-C66</f>
        <v>-3021559</v>
      </c>
      <c r="F66" s="259">
        <f t="shared" ref="F66:F76" si="9">IF(C66=0,0,E66/C66)</f>
        <v>-0.52200876591348455</v>
      </c>
    </row>
    <row r="67" spans="1:6" ht="20.25" customHeight="1" x14ac:dyDescent="0.3">
      <c r="A67" s="256">
        <v>2</v>
      </c>
      <c r="B67" s="257" t="s">
        <v>442</v>
      </c>
      <c r="C67" s="258">
        <v>1356361</v>
      </c>
      <c r="D67" s="258">
        <v>621340</v>
      </c>
      <c r="E67" s="258">
        <f t="shared" si="8"/>
        <v>-735021</v>
      </c>
      <c r="F67" s="259">
        <f t="shared" si="9"/>
        <v>-0.54190661630642578</v>
      </c>
    </row>
    <row r="68" spans="1:6" ht="20.25" customHeight="1" x14ac:dyDescent="0.3">
      <c r="A68" s="256">
        <v>3</v>
      </c>
      <c r="B68" s="257" t="s">
        <v>443</v>
      </c>
      <c r="C68" s="258">
        <v>2016465</v>
      </c>
      <c r="D68" s="258">
        <v>1401697</v>
      </c>
      <c r="E68" s="258">
        <f t="shared" si="8"/>
        <v>-614768</v>
      </c>
      <c r="F68" s="259">
        <f t="shared" si="9"/>
        <v>-0.30487412377601397</v>
      </c>
    </row>
    <row r="69" spans="1:6" ht="20.25" customHeight="1" x14ac:dyDescent="0.3">
      <c r="A69" s="256">
        <v>4</v>
      </c>
      <c r="B69" s="257" t="s">
        <v>444</v>
      </c>
      <c r="C69" s="258">
        <v>270282</v>
      </c>
      <c r="D69" s="258">
        <v>199727</v>
      </c>
      <c r="E69" s="258">
        <f t="shared" si="8"/>
        <v>-70555</v>
      </c>
      <c r="F69" s="259">
        <f t="shared" si="9"/>
        <v>-0.26104217076978858</v>
      </c>
    </row>
    <row r="70" spans="1:6" ht="20.25" customHeight="1" x14ac:dyDescent="0.3">
      <c r="A70" s="256">
        <v>5</v>
      </c>
      <c r="B70" s="257" t="s">
        <v>381</v>
      </c>
      <c r="C70" s="260">
        <v>108</v>
      </c>
      <c r="D70" s="260">
        <v>23</v>
      </c>
      <c r="E70" s="260">
        <f t="shared" si="8"/>
        <v>-85</v>
      </c>
      <c r="F70" s="259">
        <f t="shared" si="9"/>
        <v>-0.78703703703703709</v>
      </c>
    </row>
    <row r="71" spans="1:6" ht="20.25" customHeight="1" x14ac:dyDescent="0.3">
      <c r="A71" s="256">
        <v>6</v>
      </c>
      <c r="B71" s="257" t="s">
        <v>380</v>
      </c>
      <c r="C71" s="260">
        <v>614</v>
      </c>
      <c r="D71" s="260">
        <v>155</v>
      </c>
      <c r="E71" s="260">
        <f t="shared" si="8"/>
        <v>-459</v>
      </c>
      <c r="F71" s="259">
        <f t="shared" si="9"/>
        <v>-0.74755700325732899</v>
      </c>
    </row>
    <row r="72" spans="1:6" ht="20.25" customHeight="1" x14ac:dyDescent="0.3">
      <c r="A72" s="256">
        <v>7</v>
      </c>
      <c r="B72" s="257" t="s">
        <v>445</v>
      </c>
      <c r="C72" s="260">
        <v>206</v>
      </c>
      <c r="D72" s="260">
        <v>151</v>
      </c>
      <c r="E72" s="260">
        <f t="shared" si="8"/>
        <v>-55</v>
      </c>
      <c r="F72" s="259">
        <f t="shared" si="9"/>
        <v>-0.26699029126213591</v>
      </c>
    </row>
    <row r="73" spans="1:6" ht="20.25" customHeight="1" x14ac:dyDescent="0.3">
      <c r="A73" s="256">
        <v>8</v>
      </c>
      <c r="B73" s="257" t="s">
        <v>446</v>
      </c>
      <c r="C73" s="260">
        <v>108</v>
      </c>
      <c r="D73" s="260">
        <v>102</v>
      </c>
      <c r="E73" s="260">
        <f t="shared" si="8"/>
        <v>-6</v>
      </c>
      <c r="F73" s="259">
        <f t="shared" si="9"/>
        <v>-5.5555555555555552E-2</v>
      </c>
    </row>
    <row r="74" spans="1:6" ht="20.25" customHeight="1" x14ac:dyDescent="0.3">
      <c r="A74" s="256">
        <v>9</v>
      </c>
      <c r="B74" s="257" t="s">
        <v>447</v>
      </c>
      <c r="C74" s="260">
        <v>95</v>
      </c>
      <c r="D74" s="260">
        <v>53</v>
      </c>
      <c r="E74" s="260">
        <f t="shared" si="8"/>
        <v>-42</v>
      </c>
      <c r="F74" s="259">
        <f t="shared" si="9"/>
        <v>-0.44210526315789472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7804795</v>
      </c>
      <c r="D75" s="263">
        <f>+D66+D68</f>
        <v>4168468</v>
      </c>
      <c r="E75" s="263">
        <f t="shared" si="8"/>
        <v>-3636327</v>
      </c>
      <c r="F75" s="264">
        <f t="shared" si="9"/>
        <v>-0.4659093544417246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1626643</v>
      </c>
      <c r="D76" s="263">
        <f>+D67+D69</f>
        <v>821067</v>
      </c>
      <c r="E76" s="263">
        <f t="shared" si="8"/>
        <v>-805576</v>
      </c>
      <c r="F76" s="264">
        <f t="shared" si="9"/>
        <v>-0.49523835285308454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13589977</v>
      </c>
      <c r="D92" s="258">
        <v>12771646</v>
      </c>
      <c r="E92" s="258">
        <f t="shared" ref="E92:E102" si="12">D92-C92</f>
        <v>-818331</v>
      </c>
      <c r="F92" s="259">
        <f t="shared" ref="F92:F102" si="13">IF(C92=0,0,E92/C92)</f>
        <v>-6.0215775199619542E-2</v>
      </c>
    </row>
    <row r="93" spans="1:6" ht="20.25" customHeight="1" x14ac:dyDescent="0.3">
      <c r="A93" s="256">
        <v>2</v>
      </c>
      <c r="B93" s="257" t="s">
        <v>442</v>
      </c>
      <c r="C93" s="258">
        <v>3272530</v>
      </c>
      <c r="D93" s="258">
        <v>3250124</v>
      </c>
      <c r="E93" s="258">
        <f t="shared" si="12"/>
        <v>-22406</v>
      </c>
      <c r="F93" s="259">
        <f t="shared" si="13"/>
        <v>-6.8466904810651086E-3</v>
      </c>
    </row>
    <row r="94" spans="1:6" ht="20.25" customHeight="1" x14ac:dyDescent="0.3">
      <c r="A94" s="256">
        <v>3</v>
      </c>
      <c r="B94" s="257" t="s">
        <v>443</v>
      </c>
      <c r="C94" s="258">
        <v>13357499</v>
      </c>
      <c r="D94" s="258">
        <v>12913371</v>
      </c>
      <c r="E94" s="258">
        <f t="shared" si="12"/>
        <v>-444128</v>
      </c>
      <c r="F94" s="259">
        <f t="shared" si="13"/>
        <v>-3.324933806845129E-2</v>
      </c>
    </row>
    <row r="95" spans="1:6" ht="20.25" customHeight="1" x14ac:dyDescent="0.3">
      <c r="A95" s="256">
        <v>4</v>
      </c>
      <c r="B95" s="257" t="s">
        <v>444</v>
      </c>
      <c r="C95" s="258">
        <v>1955060</v>
      </c>
      <c r="D95" s="258">
        <v>2371317</v>
      </c>
      <c r="E95" s="258">
        <f t="shared" si="12"/>
        <v>416257</v>
      </c>
      <c r="F95" s="259">
        <f t="shared" si="13"/>
        <v>0.21291264718218367</v>
      </c>
    </row>
    <row r="96" spans="1:6" ht="20.25" customHeight="1" x14ac:dyDescent="0.3">
      <c r="A96" s="256">
        <v>5</v>
      </c>
      <c r="B96" s="257" t="s">
        <v>381</v>
      </c>
      <c r="C96" s="260">
        <v>251</v>
      </c>
      <c r="D96" s="260">
        <v>234</v>
      </c>
      <c r="E96" s="260">
        <f t="shared" si="12"/>
        <v>-17</v>
      </c>
      <c r="F96" s="259">
        <f t="shared" si="13"/>
        <v>-6.7729083665338641E-2</v>
      </c>
    </row>
    <row r="97" spans="1:6" ht="20.25" customHeight="1" x14ac:dyDescent="0.3">
      <c r="A97" s="256">
        <v>6</v>
      </c>
      <c r="B97" s="257" t="s">
        <v>380</v>
      </c>
      <c r="C97" s="260">
        <v>1512</v>
      </c>
      <c r="D97" s="260">
        <v>1761</v>
      </c>
      <c r="E97" s="260">
        <f t="shared" si="12"/>
        <v>249</v>
      </c>
      <c r="F97" s="259">
        <f t="shared" si="13"/>
        <v>0.16468253968253968</v>
      </c>
    </row>
    <row r="98" spans="1:6" ht="20.25" customHeight="1" x14ac:dyDescent="0.3">
      <c r="A98" s="256">
        <v>7</v>
      </c>
      <c r="B98" s="257" t="s">
        <v>445</v>
      </c>
      <c r="C98" s="260">
        <v>5153</v>
      </c>
      <c r="D98" s="260">
        <v>3788</v>
      </c>
      <c r="E98" s="260">
        <f t="shared" si="12"/>
        <v>-1365</v>
      </c>
      <c r="F98" s="259">
        <f t="shared" si="13"/>
        <v>-0.26489423636716475</v>
      </c>
    </row>
    <row r="99" spans="1:6" ht="20.25" customHeight="1" x14ac:dyDescent="0.3">
      <c r="A99" s="256">
        <v>8</v>
      </c>
      <c r="B99" s="257" t="s">
        <v>446</v>
      </c>
      <c r="C99" s="260">
        <v>356</v>
      </c>
      <c r="D99" s="260">
        <v>341</v>
      </c>
      <c r="E99" s="260">
        <f t="shared" si="12"/>
        <v>-15</v>
      </c>
      <c r="F99" s="259">
        <f t="shared" si="13"/>
        <v>-4.2134831460674156E-2</v>
      </c>
    </row>
    <row r="100" spans="1:6" ht="20.25" customHeight="1" x14ac:dyDescent="0.3">
      <c r="A100" s="256">
        <v>9</v>
      </c>
      <c r="B100" s="257" t="s">
        <v>447</v>
      </c>
      <c r="C100" s="260">
        <v>215</v>
      </c>
      <c r="D100" s="260">
        <v>202</v>
      </c>
      <c r="E100" s="260">
        <f t="shared" si="12"/>
        <v>-13</v>
      </c>
      <c r="F100" s="259">
        <f t="shared" si="13"/>
        <v>-6.0465116279069767E-2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26947476</v>
      </c>
      <c r="D101" s="263">
        <f>+D92+D94</f>
        <v>25685017</v>
      </c>
      <c r="E101" s="263">
        <f t="shared" si="12"/>
        <v>-1262459</v>
      </c>
      <c r="F101" s="264">
        <f t="shared" si="13"/>
        <v>-4.6848877423622162E-2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5227590</v>
      </c>
      <c r="D102" s="263">
        <f>+D93+D95</f>
        <v>5621441</v>
      </c>
      <c r="E102" s="263">
        <f t="shared" si="12"/>
        <v>393851</v>
      </c>
      <c r="F102" s="264">
        <f t="shared" si="13"/>
        <v>7.5340835834485878E-2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65111</v>
      </c>
      <c r="D105" s="258">
        <v>446896</v>
      </c>
      <c r="E105" s="258">
        <f t="shared" ref="E105:E115" si="14">D105-C105</f>
        <v>381785</v>
      </c>
      <c r="F105" s="259">
        <f t="shared" ref="F105:F115" si="15">IF(C105=0,0,E105/C105)</f>
        <v>5.8636021563176728</v>
      </c>
    </row>
    <row r="106" spans="1:6" ht="20.25" customHeight="1" x14ac:dyDescent="0.3">
      <c r="A106" s="256">
        <v>2</v>
      </c>
      <c r="B106" s="257" t="s">
        <v>442</v>
      </c>
      <c r="C106" s="258">
        <v>23286</v>
      </c>
      <c r="D106" s="258">
        <v>85741</v>
      </c>
      <c r="E106" s="258">
        <f t="shared" si="14"/>
        <v>62455</v>
      </c>
      <c r="F106" s="259">
        <f t="shared" si="15"/>
        <v>2.6820836554152709</v>
      </c>
    </row>
    <row r="107" spans="1:6" ht="20.25" customHeight="1" x14ac:dyDescent="0.3">
      <c r="A107" s="256">
        <v>3</v>
      </c>
      <c r="B107" s="257" t="s">
        <v>443</v>
      </c>
      <c r="C107" s="258">
        <v>300196</v>
      </c>
      <c r="D107" s="258">
        <v>298969</v>
      </c>
      <c r="E107" s="258">
        <f t="shared" si="14"/>
        <v>-1227</v>
      </c>
      <c r="F107" s="259">
        <f t="shared" si="15"/>
        <v>-4.0873296113206042E-3</v>
      </c>
    </row>
    <row r="108" spans="1:6" ht="20.25" customHeight="1" x14ac:dyDescent="0.3">
      <c r="A108" s="256">
        <v>4</v>
      </c>
      <c r="B108" s="257" t="s">
        <v>444</v>
      </c>
      <c r="C108" s="258">
        <v>47900</v>
      </c>
      <c r="D108" s="258">
        <v>46025</v>
      </c>
      <c r="E108" s="258">
        <f t="shared" si="14"/>
        <v>-1875</v>
      </c>
      <c r="F108" s="259">
        <f t="shared" si="15"/>
        <v>-3.9144050104384133E-2</v>
      </c>
    </row>
    <row r="109" spans="1:6" ht="20.25" customHeight="1" x14ac:dyDescent="0.3">
      <c r="A109" s="256">
        <v>5</v>
      </c>
      <c r="B109" s="257" t="s">
        <v>381</v>
      </c>
      <c r="C109" s="260">
        <v>3</v>
      </c>
      <c r="D109" s="260">
        <v>6</v>
      </c>
      <c r="E109" s="260">
        <f t="shared" si="14"/>
        <v>3</v>
      </c>
      <c r="F109" s="259">
        <f t="shared" si="15"/>
        <v>1</v>
      </c>
    </row>
    <row r="110" spans="1:6" ht="20.25" customHeight="1" x14ac:dyDescent="0.3">
      <c r="A110" s="256">
        <v>6</v>
      </c>
      <c r="B110" s="257" t="s">
        <v>380</v>
      </c>
      <c r="C110" s="260">
        <v>8</v>
      </c>
      <c r="D110" s="260">
        <v>44</v>
      </c>
      <c r="E110" s="260">
        <f t="shared" si="14"/>
        <v>36</v>
      </c>
      <c r="F110" s="259">
        <f t="shared" si="15"/>
        <v>4.5</v>
      </c>
    </row>
    <row r="111" spans="1:6" ht="20.25" customHeight="1" x14ac:dyDescent="0.3">
      <c r="A111" s="256">
        <v>7</v>
      </c>
      <c r="B111" s="257" t="s">
        <v>445</v>
      </c>
      <c r="C111" s="260">
        <v>219</v>
      </c>
      <c r="D111" s="260">
        <v>163</v>
      </c>
      <c r="E111" s="260">
        <f t="shared" si="14"/>
        <v>-56</v>
      </c>
      <c r="F111" s="259">
        <f t="shared" si="15"/>
        <v>-0.25570776255707761</v>
      </c>
    </row>
    <row r="112" spans="1:6" ht="20.25" customHeight="1" x14ac:dyDescent="0.3">
      <c r="A112" s="256">
        <v>8</v>
      </c>
      <c r="B112" s="257" t="s">
        <v>446</v>
      </c>
      <c r="C112" s="260">
        <v>12</v>
      </c>
      <c r="D112" s="260">
        <v>9</v>
      </c>
      <c r="E112" s="260">
        <f t="shared" si="14"/>
        <v>-3</v>
      </c>
      <c r="F112" s="259">
        <f t="shared" si="15"/>
        <v>-0.25</v>
      </c>
    </row>
    <row r="113" spans="1:6" ht="20.25" customHeight="1" x14ac:dyDescent="0.3">
      <c r="A113" s="256">
        <v>9</v>
      </c>
      <c r="B113" s="257" t="s">
        <v>447</v>
      </c>
      <c r="C113" s="260">
        <v>2</v>
      </c>
      <c r="D113" s="260">
        <v>5</v>
      </c>
      <c r="E113" s="260">
        <f t="shared" si="14"/>
        <v>3</v>
      </c>
      <c r="F113" s="259">
        <f t="shared" si="15"/>
        <v>1.5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365307</v>
      </c>
      <c r="D114" s="263">
        <f>+D105+D107</f>
        <v>745865</v>
      </c>
      <c r="E114" s="263">
        <f t="shared" si="14"/>
        <v>380558</v>
      </c>
      <c r="F114" s="264">
        <f t="shared" si="15"/>
        <v>1.0417484471964675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71186</v>
      </c>
      <c r="D115" s="263">
        <f>+D106+D108</f>
        <v>131766</v>
      </c>
      <c r="E115" s="263">
        <f t="shared" si="14"/>
        <v>60580</v>
      </c>
      <c r="F115" s="264">
        <f t="shared" si="15"/>
        <v>0.85101003006209086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8635543</v>
      </c>
      <c r="D118" s="258">
        <v>8806274</v>
      </c>
      <c r="E118" s="258">
        <f t="shared" ref="E118:E128" si="16">D118-C118</f>
        <v>170731</v>
      </c>
      <c r="F118" s="259">
        <f t="shared" ref="F118:F128" si="17">IF(C118=0,0,E118/C118)</f>
        <v>1.9770731267275261E-2</v>
      </c>
    </row>
    <row r="119" spans="1:6" ht="20.25" customHeight="1" x14ac:dyDescent="0.3">
      <c r="A119" s="256">
        <v>2</v>
      </c>
      <c r="B119" s="257" t="s">
        <v>442</v>
      </c>
      <c r="C119" s="258">
        <v>1822508</v>
      </c>
      <c r="D119" s="258">
        <v>2151422</v>
      </c>
      <c r="E119" s="258">
        <f t="shared" si="16"/>
        <v>328914</v>
      </c>
      <c r="F119" s="259">
        <f t="shared" si="17"/>
        <v>0.18047328187311112</v>
      </c>
    </row>
    <row r="120" spans="1:6" ht="20.25" customHeight="1" x14ac:dyDescent="0.3">
      <c r="A120" s="256">
        <v>3</v>
      </c>
      <c r="B120" s="257" t="s">
        <v>443</v>
      </c>
      <c r="C120" s="258">
        <v>7804323</v>
      </c>
      <c r="D120" s="258">
        <v>8992910</v>
      </c>
      <c r="E120" s="258">
        <f t="shared" si="16"/>
        <v>1188587</v>
      </c>
      <c r="F120" s="259">
        <f t="shared" si="17"/>
        <v>0.15229854018087155</v>
      </c>
    </row>
    <row r="121" spans="1:6" ht="20.25" customHeight="1" x14ac:dyDescent="0.3">
      <c r="A121" s="256">
        <v>4</v>
      </c>
      <c r="B121" s="257" t="s">
        <v>444</v>
      </c>
      <c r="C121" s="258">
        <v>1497475</v>
      </c>
      <c r="D121" s="258">
        <v>1450474</v>
      </c>
      <c r="E121" s="258">
        <f t="shared" si="16"/>
        <v>-47001</v>
      </c>
      <c r="F121" s="259">
        <f t="shared" si="17"/>
        <v>-3.1386834504749661E-2</v>
      </c>
    </row>
    <row r="122" spans="1:6" ht="20.25" customHeight="1" x14ac:dyDescent="0.3">
      <c r="A122" s="256">
        <v>5</v>
      </c>
      <c r="B122" s="257" t="s">
        <v>381</v>
      </c>
      <c r="C122" s="260">
        <v>178</v>
      </c>
      <c r="D122" s="260">
        <v>190</v>
      </c>
      <c r="E122" s="260">
        <f t="shared" si="16"/>
        <v>12</v>
      </c>
      <c r="F122" s="259">
        <f t="shared" si="17"/>
        <v>6.741573033707865E-2</v>
      </c>
    </row>
    <row r="123" spans="1:6" ht="20.25" customHeight="1" x14ac:dyDescent="0.3">
      <c r="A123" s="256">
        <v>6</v>
      </c>
      <c r="B123" s="257" t="s">
        <v>380</v>
      </c>
      <c r="C123" s="260">
        <v>908</v>
      </c>
      <c r="D123" s="260">
        <v>954</v>
      </c>
      <c r="E123" s="260">
        <f t="shared" si="16"/>
        <v>46</v>
      </c>
      <c r="F123" s="259">
        <f t="shared" si="17"/>
        <v>5.0660792951541848E-2</v>
      </c>
    </row>
    <row r="124" spans="1:6" ht="20.25" customHeight="1" x14ac:dyDescent="0.3">
      <c r="A124" s="256">
        <v>7</v>
      </c>
      <c r="B124" s="257" t="s">
        <v>445</v>
      </c>
      <c r="C124" s="260">
        <v>2513</v>
      </c>
      <c r="D124" s="260">
        <v>2794</v>
      </c>
      <c r="E124" s="260">
        <f t="shared" si="16"/>
        <v>281</v>
      </c>
      <c r="F124" s="259">
        <f t="shared" si="17"/>
        <v>0.11181854357341822</v>
      </c>
    </row>
    <row r="125" spans="1:6" ht="20.25" customHeight="1" x14ac:dyDescent="0.3">
      <c r="A125" s="256">
        <v>8</v>
      </c>
      <c r="B125" s="257" t="s">
        <v>446</v>
      </c>
      <c r="C125" s="260">
        <v>226</v>
      </c>
      <c r="D125" s="260">
        <v>200</v>
      </c>
      <c r="E125" s="260">
        <f t="shared" si="16"/>
        <v>-26</v>
      </c>
      <c r="F125" s="259">
        <f t="shared" si="17"/>
        <v>-0.11504424778761062</v>
      </c>
    </row>
    <row r="126" spans="1:6" ht="20.25" customHeight="1" x14ac:dyDescent="0.3">
      <c r="A126" s="256">
        <v>9</v>
      </c>
      <c r="B126" s="257" t="s">
        <v>447</v>
      </c>
      <c r="C126" s="260">
        <v>146</v>
      </c>
      <c r="D126" s="260">
        <v>167</v>
      </c>
      <c r="E126" s="260">
        <f t="shared" si="16"/>
        <v>21</v>
      </c>
      <c r="F126" s="259">
        <f t="shared" si="17"/>
        <v>0.14383561643835616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16439866</v>
      </c>
      <c r="D127" s="263">
        <f>+D118+D120</f>
        <v>17799184</v>
      </c>
      <c r="E127" s="263">
        <f t="shared" si="16"/>
        <v>1359318</v>
      </c>
      <c r="F127" s="264">
        <f t="shared" si="17"/>
        <v>8.2684250589390454E-2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3319983</v>
      </c>
      <c r="D128" s="263">
        <f>+D119+D121</f>
        <v>3601896</v>
      </c>
      <c r="E128" s="263">
        <f t="shared" si="16"/>
        <v>281913</v>
      </c>
      <c r="F128" s="264">
        <f t="shared" si="17"/>
        <v>8.4913989017413649E-2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157752</v>
      </c>
      <c r="D131" s="258">
        <v>82097</v>
      </c>
      <c r="E131" s="258">
        <f t="shared" ref="E131:E141" si="18">D131-C131</f>
        <v>-75655</v>
      </c>
      <c r="F131" s="259">
        <f t="shared" ref="F131:F141" si="19">IF(C131=0,0,E131/C131)</f>
        <v>-0.47958187534864849</v>
      </c>
    </row>
    <row r="132" spans="1:6" ht="20.25" customHeight="1" x14ac:dyDescent="0.3">
      <c r="A132" s="256">
        <v>2</v>
      </c>
      <c r="B132" s="257" t="s">
        <v>442</v>
      </c>
      <c r="C132" s="258">
        <v>44115</v>
      </c>
      <c r="D132" s="258">
        <v>21697</v>
      </c>
      <c r="E132" s="258">
        <f t="shared" si="18"/>
        <v>-22418</v>
      </c>
      <c r="F132" s="259">
        <f t="shared" si="19"/>
        <v>-0.50817182364275193</v>
      </c>
    </row>
    <row r="133" spans="1:6" ht="20.25" customHeight="1" x14ac:dyDescent="0.3">
      <c r="A133" s="256">
        <v>3</v>
      </c>
      <c r="B133" s="257" t="s">
        <v>443</v>
      </c>
      <c r="C133" s="258">
        <v>107414</v>
      </c>
      <c r="D133" s="258">
        <v>43976</v>
      </c>
      <c r="E133" s="258">
        <f t="shared" si="18"/>
        <v>-63438</v>
      </c>
      <c r="F133" s="259">
        <f t="shared" si="19"/>
        <v>-0.59059340495652335</v>
      </c>
    </row>
    <row r="134" spans="1:6" ht="20.25" customHeight="1" x14ac:dyDescent="0.3">
      <c r="A134" s="256">
        <v>4</v>
      </c>
      <c r="B134" s="257" t="s">
        <v>444</v>
      </c>
      <c r="C134" s="258">
        <v>16543</v>
      </c>
      <c r="D134" s="258">
        <v>6601</v>
      </c>
      <c r="E134" s="258">
        <f t="shared" si="18"/>
        <v>-9942</v>
      </c>
      <c r="F134" s="259">
        <f t="shared" si="19"/>
        <v>-0.60097926615486907</v>
      </c>
    </row>
    <row r="135" spans="1:6" ht="20.25" customHeight="1" x14ac:dyDescent="0.3">
      <c r="A135" s="256">
        <v>5</v>
      </c>
      <c r="B135" s="257" t="s">
        <v>381</v>
      </c>
      <c r="C135" s="260">
        <v>5</v>
      </c>
      <c r="D135" s="260">
        <v>2</v>
      </c>
      <c r="E135" s="260">
        <f t="shared" si="18"/>
        <v>-3</v>
      </c>
      <c r="F135" s="259">
        <f t="shared" si="19"/>
        <v>-0.6</v>
      </c>
    </row>
    <row r="136" spans="1:6" ht="20.25" customHeight="1" x14ac:dyDescent="0.3">
      <c r="A136" s="256">
        <v>6</v>
      </c>
      <c r="B136" s="257" t="s">
        <v>380</v>
      </c>
      <c r="C136" s="260">
        <v>13</v>
      </c>
      <c r="D136" s="260">
        <v>7</v>
      </c>
      <c r="E136" s="260">
        <f t="shared" si="18"/>
        <v>-6</v>
      </c>
      <c r="F136" s="259">
        <f t="shared" si="19"/>
        <v>-0.46153846153846156</v>
      </c>
    </row>
    <row r="137" spans="1:6" ht="20.25" customHeight="1" x14ac:dyDescent="0.3">
      <c r="A137" s="256">
        <v>7</v>
      </c>
      <c r="B137" s="257" t="s">
        <v>445</v>
      </c>
      <c r="C137" s="260">
        <v>50</v>
      </c>
      <c r="D137" s="260">
        <v>24</v>
      </c>
      <c r="E137" s="260">
        <f t="shared" si="18"/>
        <v>-26</v>
      </c>
      <c r="F137" s="259">
        <f t="shared" si="19"/>
        <v>-0.52</v>
      </c>
    </row>
    <row r="138" spans="1:6" ht="20.25" customHeight="1" x14ac:dyDescent="0.3">
      <c r="A138" s="256">
        <v>8</v>
      </c>
      <c r="B138" s="257" t="s">
        <v>446</v>
      </c>
      <c r="C138" s="260">
        <v>12</v>
      </c>
      <c r="D138" s="260">
        <v>10</v>
      </c>
      <c r="E138" s="260">
        <f t="shared" si="18"/>
        <v>-2</v>
      </c>
      <c r="F138" s="259">
        <f t="shared" si="19"/>
        <v>-0.16666666666666666</v>
      </c>
    </row>
    <row r="139" spans="1:6" ht="20.25" customHeight="1" x14ac:dyDescent="0.3">
      <c r="A139" s="256">
        <v>9</v>
      </c>
      <c r="B139" s="257" t="s">
        <v>447</v>
      </c>
      <c r="C139" s="260">
        <v>5</v>
      </c>
      <c r="D139" s="260">
        <v>2</v>
      </c>
      <c r="E139" s="260">
        <f t="shared" si="18"/>
        <v>-3</v>
      </c>
      <c r="F139" s="259">
        <f t="shared" si="19"/>
        <v>-0.6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265166</v>
      </c>
      <c r="D140" s="263">
        <f>+D131+D133</f>
        <v>126073</v>
      </c>
      <c r="E140" s="263">
        <f t="shared" si="18"/>
        <v>-139093</v>
      </c>
      <c r="F140" s="264">
        <f t="shared" si="19"/>
        <v>-0.52455065883258034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60658</v>
      </c>
      <c r="D141" s="263">
        <f>+D132+D134</f>
        <v>28298</v>
      </c>
      <c r="E141" s="263">
        <f t="shared" si="18"/>
        <v>-32360</v>
      </c>
      <c r="F141" s="264">
        <f t="shared" si="19"/>
        <v>-0.53348280523591285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32013524</v>
      </c>
      <c r="D198" s="263">
        <f t="shared" si="28"/>
        <v>30116906</v>
      </c>
      <c r="E198" s="263">
        <f t="shared" ref="E198:E208" si="29">D198-C198</f>
        <v>-1896618</v>
      </c>
      <c r="F198" s="273">
        <f t="shared" ref="F198:F208" si="30">IF(C198=0,0,E198/C198)</f>
        <v>-5.9244274388536543E-2</v>
      </c>
    </row>
    <row r="199" spans="1:9" ht="20.25" customHeight="1" x14ac:dyDescent="0.3">
      <c r="A199" s="271"/>
      <c r="B199" s="272" t="s">
        <v>466</v>
      </c>
      <c r="C199" s="263">
        <f t="shared" si="28"/>
        <v>7369784</v>
      </c>
      <c r="D199" s="263">
        <f t="shared" si="28"/>
        <v>7407663</v>
      </c>
      <c r="E199" s="263">
        <f t="shared" si="29"/>
        <v>37879</v>
      </c>
      <c r="F199" s="273">
        <f t="shared" si="30"/>
        <v>5.1397707178392205E-3</v>
      </c>
    </row>
    <row r="200" spans="1:9" ht="20.25" customHeight="1" x14ac:dyDescent="0.3">
      <c r="A200" s="271"/>
      <c r="B200" s="272" t="s">
        <v>467</v>
      </c>
      <c r="C200" s="263">
        <f t="shared" si="28"/>
        <v>26661591</v>
      </c>
      <c r="D200" s="263">
        <f t="shared" si="28"/>
        <v>27517527</v>
      </c>
      <c r="E200" s="263">
        <f t="shared" si="29"/>
        <v>855936</v>
      </c>
      <c r="F200" s="273">
        <f t="shared" si="30"/>
        <v>3.2103710540004909E-2</v>
      </c>
    </row>
    <row r="201" spans="1:9" ht="20.25" customHeight="1" x14ac:dyDescent="0.3">
      <c r="A201" s="271"/>
      <c r="B201" s="272" t="s">
        <v>468</v>
      </c>
      <c r="C201" s="263">
        <f t="shared" si="28"/>
        <v>4270871</v>
      </c>
      <c r="D201" s="263">
        <f t="shared" si="28"/>
        <v>4635312</v>
      </c>
      <c r="E201" s="263">
        <f t="shared" si="29"/>
        <v>364441</v>
      </c>
      <c r="F201" s="273">
        <f t="shared" si="30"/>
        <v>8.5331774244644706E-2</v>
      </c>
    </row>
    <row r="202" spans="1:9" ht="20.25" customHeight="1" x14ac:dyDescent="0.3">
      <c r="A202" s="271"/>
      <c r="B202" s="272" t="s">
        <v>138</v>
      </c>
      <c r="C202" s="274">
        <f t="shared" si="28"/>
        <v>629</v>
      </c>
      <c r="D202" s="274">
        <f t="shared" si="28"/>
        <v>594</v>
      </c>
      <c r="E202" s="274">
        <f t="shared" si="29"/>
        <v>-35</v>
      </c>
      <c r="F202" s="273">
        <f t="shared" si="30"/>
        <v>-5.5643879173290937E-2</v>
      </c>
    </row>
    <row r="203" spans="1:9" ht="20.25" customHeight="1" x14ac:dyDescent="0.3">
      <c r="A203" s="271"/>
      <c r="B203" s="272" t="s">
        <v>140</v>
      </c>
      <c r="C203" s="274">
        <f t="shared" si="28"/>
        <v>3457</v>
      </c>
      <c r="D203" s="274">
        <f t="shared" si="28"/>
        <v>3732</v>
      </c>
      <c r="E203" s="274">
        <f t="shared" si="29"/>
        <v>275</v>
      </c>
      <c r="F203" s="273">
        <f t="shared" si="30"/>
        <v>7.9548741683540647E-2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9256</v>
      </c>
      <c r="D204" s="274">
        <f t="shared" si="28"/>
        <v>8065</v>
      </c>
      <c r="E204" s="274">
        <f t="shared" si="29"/>
        <v>-1191</v>
      </c>
      <c r="F204" s="273">
        <f t="shared" si="30"/>
        <v>-0.12867329299913569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802</v>
      </c>
      <c r="D205" s="274">
        <f t="shared" si="28"/>
        <v>764</v>
      </c>
      <c r="E205" s="274">
        <f t="shared" si="29"/>
        <v>-38</v>
      </c>
      <c r="F205" s="273">
        <f t="shared" si="30"/>
        <v>-4.738154613466334E-2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531</v>
      </c>
      <c r="D206" s="274">
        <f t="shared" si="28"/>
        <v>514</v>
      </c>
      <c r="E206" s="274">
        <f t="shared" si="29"/>
        <v>-17</v>
      </c>
      <c r="F206" s="273">
        <f t="shared" si="30"/>
        <v>-3.2015065913370999E-2</v>
      </c>
    </row>
    <row r="207" spans="1:9" ht="20.25" customHeight="1" x14ac:dyDescent="0.3">
      <c r="A207" s="271"/>
      <c r="B207" s="262" t="s">
        <v>471</v>
      </c>
      <c r="C207" s="263">
        <f>+C198+C200</f>
        <v>58675115</v>
      </c>
      <c r="D207" s="263">
        <f>+D198+D200</f>
        <v>57634433</v>
      </c>
      <c r="E207" s="263">
        <f t="shared" si="29"/>
        <v>-1040682</v>
      </c>
      <c r="F207" s="273">
        <f t="shared" si="30"/>
        <v>-1.7736343593020652E-2</v>
      </c>
    </row>
    <row r="208" spans="1:9" ht="20.25" customHeight="1" x14ac:dyDescent="0.3">
      <c r="A208" s="271"/>
      <c r="B208" s="262" t="s">
        <v>472</v>
      </c>
      <c r="C208" s="263">
        <f>+C199+C201</f>
        <v>11640655</v>
      </c>
      <c r="D208" s="263">
        <f>+D199+D201</f>
        <v>12042975</v>
      </c>
      <c r="E208" s="263">
        <f t="shared" si="29"/>
        <v>402320</v>
      </c>
      <c r="F208" s="273">
        <f t="shared" si="30"/>
        <v>3.4561629049224461E-2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FILING&amp;RGREENWICH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FILING&amp;RGREENWICH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31360000</v>
      </c>
      <c r="D13" s="22">
        <v>169479000</v>
      </c>
      <c r="E13" s="22">
        <f t="shared" ref="E13:E22" si="0">D13-C13</f>
        <v>138119000</v>
      </c>
      <c r="F13" s="306">
        <f t="shared" ref="F13:F22" si="1">IF(C13=0,0,E13/C13)</f>
        <v>4.4043048469387758</v>
      </c>
    </row>
    <row r="14" spans="1:8" ht="24" customHeight="1" x14ac:dyDescent="0.2">
      <c r="A14" s="304">
        <v>2</v>
      </c>
      <c r="B14" s="305" t="s">
        <v>17</v>
      </c>
      <c r="C14" s="22">
        <v>72659000</v>
      </c>
      <c r="D14" s="22">
        <v>1371905000</v>
      </c>
      <c r="E14" s="22">
        <f t="shared" si="0"/>
        <v>1299246000</v>
      </c>
      <c r="F14" s="306">
        <f t="shared" si="1"/>
        <v>17.88141868178753</v>
      </c>
    </row>
    <row r="15" spans="1:8" ht="35.1" customHeight="1" x14ac:dyDescent="0.2">
      <c r="A15" s="304">
        <v>3</v>
      </c>
      <c r="B15" s="305" t="s">
        <v>18</v>
      </c>
      <c r="C15" s="22">
        <v>41279000</v>
      </c>
      <c r="D15" s="22">
        <v>370868000</v>
      </c>
      <c r="E15" s="22">
        <f t="shared" si="0"/>
        <v>329589000</v>
      </c>
      <c r="F15" s="306">
        <f t="shared" si="1"/>
        <v>7.9844230722643479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1551531</v>
      </c>
      <c r="D19" s="22">
        <v>47064000</v>
      </c>
      <c r="E19" s="22">
        <f t="shared" si="0"/>
        <v>45512469</v>
      </c>
      <c r="F19" s="306">
        <f t="shared" si="1"/>
        <v>29.333908893860322</v>
      </c>
    </row>
    <row r="20" spans="1:11" ht="24" customHeight="1" x14ac:dyDescent="0.2">
      <c r="A20" s="304">
        <v>8</v>
      </c>
      <c r="B20" s="305" t="s">
        <v>23</v>
      </c>
      <c r="C20" s="22">
        <v>5855047</v>
      </c>
      <c r="D20" s="22">
        <v>34938000</v>
      </c>
      <c r="E20" s="22">
        <f t="shared" si="0"/>
        <v>29082953</v>
      </c>
      <c r="F20" s="306">
        <f t="shared" si="1"/>
        <v>4.9671596146025809</v>
      </c>
    </row>
    <row r="21" spans="1:11" ht="24" customHeight="1" x14ac:dyDescent="0.2">
      <c r="A21" s="304">
        <v>9</v>
      </c>
      <c r="B21" s="305" t="s">
        <v>24</v>
      </c>
      <c r="C21" s="22">
        <v>12759422</v>
      </c>
      <c r="D21" s="22">
        <v>52599000</v>
      </c>
      <c r="E21" s="22">
        <f t="shared" si="0"/>
        <v>39839578</v>
      </c>
      <c r="F21" s="306">
        <f t="shared" si="1"/>
        <v>3.1223654174930493</v>
      </c>
    </row>
    <row r="22" spans="1:11" ht="24" customHeight="1" x14ac:dyDescent="0.25">
      <c r="A22" s="307"/>
      <c r="B22" s="308" t="s">
        <v>25</v>
      </c>
      <c r="C22" s="309">
        <f>SUM(C13:C21)</f>
        <v>165464000</v>
      </c>
      <c r="D22" s="309">
        <f>SUM(D13:D21)</f>
        <v>2046853000</v>
      </c>
      <c r="E22" s="309">
        <f t="shared" si="0"/>
        <v>1881389000</v>
      </c>
      <c r="F22" s="310">
        <f t="shared" si="1"/>
        <v>11.370382681429193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794266</v>
      </c>
      <c r="D25" s="22">
        <v>18342000</v>
      </c>
      <c r="E25" s="22">
        <f>D25-C25</f>
        <v>17547734</v>
      </c>
      <c r="F25" s="306">
        <f>IF(C25=0,0,E25/C25)</f>
        <v>22.093019215225127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107476151</v>
      </c>
      <c r="D26" s="22">
        <v>83216000</v>
      </c>
      <c r="E26" s="22">
        <f>D26-C26</f>
        <v>-24260151</v>
      </c>
      <c r="F26" s="306">
        <f>IF(C26=0,0,E26/C26)</f>
        <v>-0.22572590080938049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583</v>
      </c>
      <c r="D27" s="22">
        <v>0</v>
      </c>
      <c r="E27" s="22">
        <f>D27-C27</f>
        <v>-583</v>
      </c>
      <c r="F27" s="306">
        <f>IF(C27=0,0,E27/C27)</f>
        <v>-1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85175000</v>
      </c>
      <c r="E28" s="22">
        <f>D28-C28</f>
        <v>85175000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108271000</v>
      </c>
      <c r="D29" s="309">
        <f>SUM(D25:D28)</f>
        <v>186733000</v>
      </c>
      <c r="E29" s="309">
        <f>D29-C29</f>
        <v>78462000</v>
      </c>
      <c r="F29" s="310">
        <f>IF(C29=0,0,E29/C29)</f>
        <v>0.724681586020264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64783000</v>
      </c>
      <c r="D32" s="22">
        <v>538193000</v>
      </c>
      <c r="E32" s="22">
        <f>D32-C32</f>
        <v>473410000</v>
      </c>
      <c r="F32" s="306">
        <f>IF(C32=0,0,E32/C32)</f>
        <v>7.3076270009107329</v>
      </c>
    </row>
    <row r="33" spans="1:8" ht="24" customHeight="1" x14ac:dyDescent="0.2">
      <c r="A33" s="304">
        <v>7</v>
      </c>
      <c r="B33" s="305" t="s">
        <v>35</v>
      </c>
      <c r="C33" s="22">
        <v>23119000</v>
      </c>
      <c r="D33" s="22">
        <v>695367000</v>
      </c>
      <c r="E33" s="22">
        <f>D33-C33</f>
        <v>672248000</v>
      </c>
      <c r="F33" s="306">
        <f>IF(C33=0,0,E33/C33)</f>
        <v>29.077728275444439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494377000</v>
      </c>
      <c r="D36" s="22">
        <v>3227815000</v>
      </c>
      <c r="E36" s="22">
        <f>D36-C36</f>
        <v>2733438000</v>
      </c>
      <c r="F36" s="306">
        <f>IF(C36=0,0,E36/C36)</f>
        <v>5.529055761089209</v>
      </c>
    </row>
    <row r="37" spans="1:8" ht="24" customHeight="1" x14ac:dyDescent="0.2">
      <c r="A37" s="304">
        <v>2</v>
      </c>
      <c r="B37" s="305" t="s">
        <v>39</v>
      </c>
      <c r="C37" s="22">
        <v>252107000</v>
      </c>
      <c r="D37" s="22">
        <v>1720124000</v>
      </c>
      <c r="E37" s="22">
        <f>D37-C37</f>
        <v>1468017000</v>
      </c>
      <c r="F37" s="22">
        <f>IF(C37=0,0,E37/C37)</f>
        <v>5.822991824899745</v>
      </c>
    </row>
    <row r="38" spans="1:8" ht="24" customHeight="1" x14ac:dyDescent="0.25">
      <c r="A38" s="307"/>
      <c r="B38" s="308" t="s">
        <v>40</v>
      </c>
      <c r="C38" s="309">
        <f>C36-C37</f>
        <v>242270000</v>
      </c>
      <c r="D38" s="309">
        <f>D36-D37</f>
        <v>1507691000</v>
      </c>
      <c r="E38" s="309">
        <f>D38-C38</f>
        <v>1265421000</v>
      </c>
      <c r="F38" s="310">
        <f>IF(C38=0,0,E38/C38)</f>
        <v>5.2231848763775952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4840000</v>
      </c>
      <c r="D40" s="22">
        <v>112959000</v>
      </c>
      <c r="E40" s="22">
        <f>D40-C40</f>
        <v>108119000</v>
      </c>
      <c r="F40" s="306">
        <f>IF(C40=0,0,E40/C40)</f>
        <v>22.338636363636365</v>
      </c>
    </row>
    <row r="41" spans="1:8" ht="24" customHeight="1" x14ac:dyDescent="0.25">
      <c r="A41" s="307"/>
      <c r="B41" s="308" t="s">
        <v>42</v>
      </c>
      <c r="C41" s="309">
        <f>+C38+C40</f>
        <v>247110000</v>
      </c>
      <c r="D41" s="309">
        <f>+D38+D40</f>
        <v>1620650000</v>
      </c>
      <c r="E41" s="309">
        <f>D41-C41</f>
        <v>1373540000</v>
      </c>
      <c r="F41" s="310">
        <f>IF(C41=0,0,E41/C41)</f>
        <v>5.5584152806442475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608747000</v>
      </c>
      <c r="D43" s="309">
        <f>D22+D29+D31+D32+D33+D41</f>
        <v>5087796000</v>
      </c>
      <c r="E43" s="309">
        <f>D43-C43</f>
        <v>4479049000</v>
      </c>
      <c r="F43" s="310">
        <f>IF(C43=0,0,E43/C43)</f>
        <v>7.3578169584408633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19799949</v>
      </c>
      <c r="D49" s="22">
        <v>391690000</v>
      </c>
      <c r="E49" s="22">
        <f t="shared" ref="E49:E56" si="2">D49-C49</f>
        <v>371890051</v>
      </c>
      <c r="F49" s="306">
        <f t="shared" ref="F49:F56" si="3">IF(C49=0,0,E49/C49)</f>
        <v>18.782374186923409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13268051</v>
      </c>
      <c r="D50" s="22">
        <v>178547000</v>
      </c>
      <c r="E50" s="22">
        <f t="shared" si="2"/>
        <v>165278949</v>
      </c>
      <c r="F50" s="306">
        <f t="shared" si="3"/>
        <v>12.456912398060574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462435</v>
      </c>
      <c r="D51" s="22">
        <v>0</v>
      </c>
      <c r="E51" s="22">
        <f t="shared" si="2"/>
        <v>-462435</v>
      </c>
      <c r="F51" s="306">
        <f t="shared" si="3"/>
        <v>-1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2675000</v>
      </c>
      <c r="D53" s="22">
        <v>63467000</v>
      </c>
      <c r="E53" s="22">
        <f t="shared" si="2"/>
        <v>60792000</v>
      </c>
      <c r="F53" s="306">
        <f t="shared" si="3"/>
        <v>22.725981308411214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20513565</v>
      </c>
      <c r="D55" s="22">
        <v>85004000</v>
      </c>
      <c r="E55" s="22">
        <f t="shared" si="2"/>
        <v>64490435</v>
      </c>
      <c r="F55" s="306">
        <f t="shared" si="3"/>
        <v>3.143794606154513</v>
      </c>
    </row>
    <row r="56" spans="1:6" ht="24" customHeight="1" x14ac:dyDescent="0.25">
      <c r="A56" s="307"/>
      <c r="B56" s="308" t="s">
        <v>54</v>
      </c>
      <c r="C56" s="309">
        <f>SUM(C49:C55)</f>
        <v>56719000</v>
      </c>
      <c r="D56" s="309">
        <f>SUM(D49:D55)</f>
        <v>718708000</v>
      </c>
      <c r="E56" s="309">
        <f t="shared" si="2"/>
        <v>661989000</v>
      </c>
      <c r="F56" s="310">
        <f t="shared" si="3"/>
        <v>11.671379960859676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32430000</v>
      </c>
      <c r="D59" s="22">
        <v>867555000</v>
      </c>
      <c r="E59" s="22">
        <f>D59-C59</f>
        <v>835125000</v>
      </c>
      <c r="F59" s="306">
        <f>IF(C59=0,0,E59/C59)</f>
        <v>25.751618871415356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141110000</v>
      </c>
      <c r="E60" s="22">
        <f>D60-C60</f>
        <v>141110000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32430000</v>
      </c>
      <c r="D61" s="309">
        <f>SUM(D59:D60)</f>
        <v>1008665000</v>
      </c>
      <c r="E61" s="309">
        <f>D61-C61</f>
        <v>976235000</v>
      </c>
      <c r="F61" s="310">
        <f>IF(C61=0,0,E61/C61)</f>
        <v>30.102836879432623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42787000</v>
      </c>
      <c r="D63" s="22">
        <v>401409000</v>
      </c>
      <c r="E63" s="22">
        <f>D63-C63</f>
        <v>358622000</v>
      </c>
      <c r="F63" s="306">
        <f>IF(C63=0,0,E63/C63)</f>
        <v>8.3815644938883302</v>
      </c>
    </row>
    <row r="64" spans="1:6" ht="24" customHeight="1" x14ac:dyDescent="0.2">
      <c r="A64" s="304">
        <v>4</v>
      </c>
      <c r="B64" s="305" t="s">
        <v>60</v>
      </c>
      <c r="C64" s="22">
        <v>36812000</v>
      </c>
      <c r="D64" s="22">
        <v>537958000</v>
      </c>
      <c r="E64" s="22">
        <f>D64-C64</f>
        <v>501146000</v>
      </c>
      <c r="F64" s="306">
        <f>IF(C64=0,0,E64/C64)</f>
        <v>13.613658589590351</v>
      </c>
    </row>
    <row r="65" spans="1:6" ht="24" customHeight="1" x14ac:dyDescent="0.25">
      <c r="A65" s="307"/>
      <c r="B65" s="308" t="s">
        <v>61</v>
      </c>
      <c r="C65" s="309">
        <f>SUM(C61:C64)</f>
        <v>112029000</v>
      </c>
      <c r="D65" s="309">
        <f>SUM(D61:D64)</f>
        <v>1948032000</v>
      </c>
      <c r="E65" s="309">
        <f>D65-C65</f>
        <v>1836003000</v>
      </c>
      <c r="F65" s="310">
        <f>IF(C65=0,0,E65/C65)</f>
        <v>16.388640441314301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1305000</v>
      </c>
      <c r="D67" s="22">
        <v>0</v>
      </c>
      <c r="E67" s="22">
        <f>D67-C67</f>
        <v>-1305000</v>
      </c>
      <c r="F67" s="321">
        <f>IF(C67=0,0,E67/C67)</f>
        <v>-1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373318000</v>
      </c>
      <c r="D70" s="22">
        <v>2147552000</v>
      </c>
      <c r="E70" s="22">
        <f>D70-C70</f>
        <v>1774234000</v>
      </c>
      <c r="F70" s="306">
        <f>IF(C70=0,0,E70/C70)</f>
        <v>4.7526076963875301</v>
      </c>
    </row>
    <row r="71" spans="1:6" ht="24" customHeight="1" x14ac:dyDescent="0.2">
      <c r="A71" s="304">
        <v>2</v>
      </c>
      <c r="B71" s="305" t="s">
        <v>65</v>
      </c>
      <c r="C71" s="22">
        <v>41782000</v>
      </c>
      <c r="D71" s="22">
        <v>163535000</v>
      </c>
      <c r="E71" s="22">
        <f>D71-C71</f>
        <v>121753000</v>
      </c>
      <c r="F71" s="306">
        <f>IF(C71=0,0,E71/C71)</f>
        <v>2.9140060313053469</v>
      </c>
    </row>
    <row r="72" spans="1:6" ht="24" customHeight="1" x14ac:dyDescent="0.2">
      <c r="A72" s="304">
        <v>3</v>
      </c>
      <c r="B72" s="305" t="s">
        <v>66</v>
      </c>
      <c r="C72" s="22">
        <v>23594000</v>
      </c>
      <c r="D72" s="22">
        <v>109969000</v>
      </c>
      <c r="E72" s="22">
        <f>D72-C72</f>
        <v>86375000</v>
      </c>
      <c r="F72" s="306">
        <f>IF(C72=0,0,E72/C72)</f>
        <v>3.6608883614478258</v>
      </c>
    </row>
    <row r="73" spans="1:6" ht="24" customHeight="1" x14ac:dyDescent="0.25">
      <c r="A73" s="304"/>
      <c r="B73" s="308" t="s">
        <v>67</v>
      </c>
      <c r="C73" s="309">
        <f>SUM(C70:C72)</f>
        <v>438694000</v>
      </c>
      <c r="D73" s="309">
        <f>SUM(D70:D72)</f>
        <v>2421056000</v>
      </c>
      <c r="E73" s="309">
        <f>D73-C73</f>
        <v>1982362000</v>
      </c>
      <c r="F73" s="310">
        <f>IF(C73=0,0,E73/C73)</f>
        <v>4.5187807446648458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608747000</v>
      </c>
      <c r="D75" s="309">
        <f>D56+D65+D67+D73</f>
        <v>5087796000</v>
      </c>
      <c r="E75" s="309">
        <f>D75-C75</f>
        <v>4479049000</v>
      </c>
      <c r="F75" s="310">
        <f>IF(C75=0,0,E75/C75)</f>
        <v>7.3578169584408633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FILING&amp;RYALE NEW HAVEN HEALTH SERVICES CORP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1225854000</v>
      </c>
      <c r="D11" s="76">
        <v>12486307000</v>
      </c>
      <c r="E11" s="76">
        <f t="shared" ref="E11:E20" si="0">D11-C11</f>
        <v>11260453000</v>
      </c>
      <c r="F11" s="77">
        <f t="shared" ref="F11:F20" si="1">IF(C11=0,0,E11/C11)</f>
        <v>9.1858027138631524</v>
      </c>
    </row>
    <row r="12" spans="1:7" ht="23.1" customHeight="1" x14ac:dyDescent="0.2">
      <c r="A12" s="74">
        <v>2</v>
      </c>
      <c r="B12" s="75" t="s">
        <v>72</v>
      </c>
      <c r="C12" s="76">
        <v>811460300</v>
      </c>
      <c r="D12" s="76">
        <v>8535501000</v>
      </c>
      <c r="E12" s="76">
        <f t="shared" si="0"/>
        <v>7724040700</v>
      </c>
      <c r="F12" s="77">
        <f t="shared" si="1"/>
        <v>9.5186920419889915</v>
      </c>
    </row>
    <row r="13" spans="1:7" ht="23.1" customHeight="1" x14ac:dyDescent="0.2">
      <c r="A13" s="74">
        <v>3</v>
      </c>
      <c r="B13" s="75" t="s">
        <v>73</v>
      </c>
      <c r="C13" s="76">
        <v>20563000</v>
      </c>
      <c r="D13" s="76">
        <v>197173000</v>
      </c>
      <c r="E13" s="76">
        <f t="shared" si="0"/>
        <v>176610000</v>
      </c>
      <c r="F13" s="77">
        <f t="shared" si="1"/>
        <v>8.5887273257793115</v>
      </c>
    </row>
    <row r="14" spans="1:7" ht="23.1" customHeight="1" x14ac:dyDescent="0.2">
      <c r="A14" s="74">
        <v>4</v>
      </c>
      <c r="B14" s="75" t="s">
        <v>74</v>
      </c>
      <c r="C14" s="76">
        <v>21694700</v>
      </c>
      <c r="D14" s="76">
        <v>70278000</v>
      </c>
      <c r="E14" s="76">
        <f t="shared" si="0"/>
        <v>48583300</v>
      </c>
      <c r="F14" s="77">
        <f t="shared" si="1"/>
        <v>2.23940870350823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372136000</v>
      </c>
      <c r="D15" s="79">
        <f>D11-D12-D13-D14</f>
        <v>3683355000</v>
      </c>
      <c r="E15" s="79">
        <f t="shared" si="0"/>
        <v>3311219000</v>
      </c>
      <c r="F15" s="80">
        <f t="shared" si="1"/>
        <v>8.8978733581271356</v>
      </c>
    </row>
    <row r="16" spans="1:7" ht="23.1" customHeight="1" x14ac:dyDescent="0.2">
      <c r="A16" s="74">
        <v>5</v>
      </c>
      <c r="B16" s="75" t="s">
        <v>76</v>
      </c>
      <c r="C16" s="76">
        <v>12484000</v>
      </c>
      <c r="D16" s="76">
        <v>104084000</v>
      </c>
      <c r="E16" s="76">
        <f t="shared" si="0"/>
        <v>91600000</v>
      </c>
      <c r="F16" s="77">
        <f t="shared" si="1"/>
        <v>7.3373918615828257</v>
      </c>
      <c r="G16" s="65"/>
    </row>
    <row r="17" spans="1:7" ht="31.5" customHeight="1" x14ac:dyDescent="0.25">
      <c r="A17" s="71"/>
      <c r="B17" s="81" t="s">
        <v>77</v>
      </c>
      <c r="C17" s="79">
        <f>C15-C16</f>
        <v>359652000</v>
      </c>
      <c r="D17" s="79">
        <f>D15-D16</f>
        <v>3579271000</v>
      </c>
      <c r="E17" s="79">
        <f t="shared" si="0"/>
        <v>3219619000</v>
      </c>
      <c r="F17" s="80">
        <f t="shared" si="1"/>
        <v>8.9520397495356629</v>
      </c>
    </row>
    <row r="18" spans="1:7" ht="23.1" customHeight="1" x14ac:dyDescent="0.2">
      <c r="A18" s="74">
        <v>6</v>
      </c>
      <c r="B18" s="75" t="s">
        <v>78</v>
      </c>
      <c r="C18" s="76">
        <v>8943000</v>
      </c>
      <c r="D18" s="76">
        <v>181390000</v>
      </c>
      <c r="E18" s="76">
        <f t="shared" si="0"/>
        <v>172447000</v>
      </c>
      <c r="F18" s="77">
        <f t="shared" si="1"/>
        <v>19.282902829028291</v>
      </c>
      <c r="G18" s="65"/>
    </row>
    <row r="19" spans="1:7" ht="33" customHeight="1" x14ac:dyDescent="0.2">
      <c r="A19" s="74">
        <v>7</v>
      </c>
      <c r="B19" s="82" t="s">
        <v>79</v>
      </c>
      <c r="C19" s="76">
        <v>4783000</v>
      </c>
      <c r="D19" s="76">
        <v>26243000</v>
      </c>
      <c r="E19" s="76">
        <f t="shared" si="0"/>
        <v>21460000</v>
      </c>
      <c r="F19" s="77">
        <f t="shared" si="1"/>
        <v>4.4867238135061678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373378000</v>
      </c>
      <c r="D20" s="79">
        <f>SUM(D17:D19)</f>
        <v>3786904000</v>
      </c>
      <c r="E20" s="79">
        <f t="shared" si="0"/>
        <v>3413526000</v>
      </c>
      <c r="F20" s="80">
        <f t="shared" si="1"/>
        <v>9.1422794058567991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116725687</v>
      </c>
      <c r="D23" s="76">
        <v>1436675000</v>
      </c>
      <c r="E23" s="76">
        <f t="shared" ref="E23:E32" si="2">D23-C23</f>
        <v>1319949313</v>
      </c>
      <c r="F23" s="77">
        <f t="shared" ref="F23:F32" si="3">IF(C23=0,0,E23/C23)</f>
        <v>11.308130600250825</v>
      </c>
    </row>
    <row r="24" spans="1:7" ht="23.1" customHeight="1" x14ac:dyDescent="0.2">
      <c r="A24" s="74">
        <v>2</v>
      </c>
      <c r="B24" s="75" t="s">
        <v>83</v>
      </c>
      <c r="C24" s="76">
        <v>37029313</v>
      </c>
      <c r="D24" s="76">
        <v>467576000</v>
      </c>
      <c r="E24" s="76">
        <f t="shared" si="2"/>
        <v>430546687</v>
      </c>
      <c r="F24" s="77">
        <f t="shared" si="3"/>
        <v>11.62718538688525</v>
      </c>
    </row>
    <row r="25" spans="1:7" ht="23.1" customHeight="1" x14ac:dyDescent="0.2">
      <c r="A25" s="74">
        <v>3</v>
      </c>
      <c r="B25" s="75" t="s">
        <v>84</v>
      </c>
      <c r="C25" s="76">
        <v>10436943</v>
      </c>
      <c r="D25" s="76">
        <v>141028000</v>
      </c>
      <c r="E25" s="76">
        <f t="shared" si="2"/>
        <v>130591057</v>
      </c>
      <c r="F25" s="77">
        <f t="shared" si="3"/>
        <v>12.512385762765975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51195100</v>
      </c>
      <c r="D26" s="76">
        <v>626422203</v>
      </c>
      <c r="E26" s="76">
        <f t="shared" si="2"/>
        <v>575227103</v>
      </c>
      <c r="F26" s="77">
        <f t="shared" si="3"/>
        <v>11.235979673835972</v>
      </c>
    </row>
    <row r="27" spans="1:7" ht="23.1" customHeight="1" x14ac:dyDescent="0.2">
      <c r="A27" s="74">
        <v>5</v>
      </c>
      <c r="B27" s="75" t="s">
        <v>86</v>
      </c>
      <c r="C27" s="76">
        <v>25119000</v>
      </c>
      <c r="D27" s="76">
        <v>191544000</v>
      </c>
      <c r="E27" s="76">
        <f t="shared" si="2"/>
        <v>166425000</v>
      </c>
      <c r="F27" s="77">
        <f t="shared" si="3"/>
        <v>6.6254627970858708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314000</v>
      </c>
      <c r="D29" s="76">
        <v>28912000</v>
      </c>
      <c r="E29" s="76">
        <f t="shared" si="2"/>
        <v>28598000</v>
      </c>
      <c r="F29" s="77">
        <f t="shared" si="3"/>
        <v>91.076433121019107</v>
      </c>
    </row>
    <row r="30" spans="1:7" ht="23.1" customHeight="1" x14ac:dyDescent="0.2">
      <c r="A30" s="74">
        <v>8</v>
      </c>
      <c r="B30" s="75" t="s">
        <v>89</v>
      </c>
      <c r="C30" s="76">
        <v>1279220</v>
      </c>
      <c r="D30" s="76">
        <v>81093078</v>
      </c>
      <c r="E30" s="76">
        <f t="shared" si="2"/>
        <v>79813858</v>
      </c>
      <c r="F30" s="77">
        <f t="shared" si="3"/>
        <v>62.392597051328153</v>
      </c>
    </row>
    <row r="31" spans="1:7" ht="23.1" customHeight="1" x14ac:dyDescent="0.2">
      <c r="A31" s="74">
        <v>9</v>
      </c>
      <c r="B31" s="75" t="s">
        <v>90</v>
      </c>
      <c r="C31" s="76">
        <v>104628737</v>
      </c>
      <c r="D31" s="76">
        <v>674315719</v>
      </c>
      <c r="E31" s="76">
        <f t="shared" si="2"/>
        <v>569686982</v>
      </c>
      <c r="F31" s="77">
        <f t="shared" si="3"/>
        <v>5.4448423858925104</v>
      </c>
    </row>
    <row r="32" spans="1:7" ht="23.1" customHeight="1" x14ac:dyDescent="0.25">
      <c r="A32" s="71"/>
      <c r="B32" s="78" t="s">
        <v>91</v>
      </c>
      <c r="C32" s="79">
        <f>SUM(C23:C31)</f>
        <v>346728000</v>
      </c>
      <c r="D32" s="79">
        <f>SUM(D23:D31)</f>
        <v>3647566000</v>
      </c>
      <c r="E32" s="79">
        <f t="shared" si="2"/>
        <v>3300838000</v>
      </c>
      <c r="F32" s="80">
        <f t="shared" si="3"/>
        <v>9.5199637756396953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26650000</v>
      </c>
      <c r="D34" s="79">
        <f>+D20-D32</f>
        <v>139338000</v>
      </c>
      <c r="E34" s="79">
        <f>D34-C34</f>
        <v>112688000</v>
      </c>
      <c r="F34" s="80">
        <f>IF(C34=0,0,E34/C34)</f>
        <v>4.2284427767354593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1937000</v>
      </c>
      <c r="D37" s="76">
        <v>14692000</v>
      </c>
      <c r="E37" s="76">
        <f>D37-C37</f>
        <v>12755000</v>
      </c>
      <c r="F37" s="77">
        <f>IF(C37=0,0,E37/C37)</f>
        <v>6.5849251419721222</v>
      </c>
    </row>
    <row r="38" spans="1:6" ht="23.1" customHeight="1" x14ac:dyDescent="0.2">
      <c r="A38" s="85">
        <v>2</v>
      </c>
      <c r="B38" s="75" t="s">
        <v>95</v>
      </c>
      <c r="C38" s="76">
        <v>2760000</v>
      </c>
      <c r="D38" s="76">
        <v>0</v>
      </c>
      <c r="E38" s="76">
        <f>D38-C38</f>
        <v>-2760000</v>
      </c>
      <c r="F38" s="77">
        <f>IF(C38=0,0,E38/C38)</f>
        <v>-1</v>
      </c>
    </row>
    <row r="39" spans="1:6" ht="23.1" customHeight="1" x14ac:dyDescent="0.2">
      <c r="A39" s="85">
        <v>3</v>
      </c>
      <c r="B39" s="75" t="s">
        <v>96</v>
      </c>
      <c r="C39" s="76">
        <v>-5702000</v>
      </c>
      <c r="D39" s="76">
        <v>208476000</v>
      </c>
      <c r="E39" s="76">
        <f>D39-C39</f>
        <v>214178000</v>
      </c>
      <c r="F39" s="77">
        <f>IF(C39=0,0,E39/C39)</f>
        <v>-37.561908102420205</v>
      </c>
    </row>
    <row r="40" spans="1:6" ht="23.1" customHeight="1" x14ac:dyDescent="0.25">
      <c r="A40" s="83"/>
      <c r="B40" s="78" t="s">
        <v>97</v>
      </c>
      <c r="C40" s="79">
        <f>SUM(C37:C39)</f>
        <v>-1005000</v>
      </c>
      <c r="D40" s="79">
        <f>SUM(D37:D39)</f>
        <v>223168000</v>
      </c>
      <c r="E40" s="79">
        <f>D40-C40</f>
        <v>224173000</v>
      </c>
      <c r="F40" s="80">
        <f>IF(C40=0,0,E40/C40)</f>
        <v>-223.05771144278606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25645000</v>
      </c>
      <c r="D42" s="79">
        <f>D34+D40</f>
        <v>362506000</v>
      </c>
      <c r="E42" s="79">
        <f>D42-C42</f>
        <v>336861000</v>
      </c>
      <c r="F42" s="80">
        <f>IF(C42=0,0,E42/C42)</f>
        <v>13.13554299083642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-7035000</v>
      </c>
      <c r="D45" s="76">
        <v>97402000</v>
      </c>
      <c r="E45" s="76">
        <f>D45-C45</f>
        <v>104437000</v>
      </c>
      <c r="F45" s="77">
        <f>IF(C45=0,0,E45/C45)</f>
        <v>-14.845344705046198</v>
      </c>
    </row>
    <row r="46" spans="1:6" ht="23.1" customHeight="1" x14ac:dyDescent="0.2">
      <c r="A46" s="85"/>
      <c r="B46" s="75" t="s">
        <v>101</v>
      </c>
      <c r="C46" s="76">
        <v>-1430000</v>
      </c>
      <c r="D46" s="76">
        <v>0</v>
      </c>
      <c r="E46" s="76">
        <f>D46-C46</f>
        <v>1430000</v>
      </c>
      <c r="F46" s="77">
        <f>IF(C46=0,0,E46/C46)</f>
        <v>-1</v>
      </c>
    </row>
    <row r="47" spans="1:6" ht="23.1" customHeight="1" x14ac:dyDescent="0.25">
      <c r="A47" s="83"/>
      <c r="B47" s="78" t="s">
        <v>102</v>
      </c>
      <c r="C47" s="79">
        <f>SUM(C45:C46)</f>
        <v>-8465000</v>
      </c>
      <c r="D47" s="79">
        <f>SUM(D45:D46)</f>
        <v>97402000</v>
      </c>
      <c r="E47" s="79">
        <f>D47-C47</f>
        <v>105867000</v>
      </c>
      <c r="F47" s="80">
        <f>IF(C47=0,0,E47/C47)</f>
        <v>-12.506438275251034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17180000</v>
      </c>
      <c r="D49" s="79">
        <f>D42+D47</f>
        <v>459908000</v>
      </c>
      <c r="E49" s="79">
        <f>D49-C49</f>
        <v>442728000</v>
      </c>
      <c r="F49" s="80">
        <f>IF(C49=0,0,E49/C49)</f>
        <v>25.769965075669383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 NEW HAVEN HEALTH SERVICES CORP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2017-09-19T17:05:18Z</cp:lastPrinted>
  <dcterms:created xsi:type="dcterms:W3CDTF">2017-09-14T16:07:02Z</dcterms:created>
  <dcterms:modified xsi:type="dcterms:W3CDTF">2017-09-19T17:05:30Z</dcterms:modified>
</cp:coreProperties>
</file>