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6AR12M\Excel Downloads\"/>
    </mc:Choice>
  </mc:AlternateContent>
  <bookViews>
    <workbookView xWindow="0" yWindow="0" windowWidth="21570" windowHeight="951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 s="1"/>
  <c r="D96" i="22"/>
  <c r="D98" i="22"/>
  <c r="C96" i="22"/>
  <c r="E92" i="22"/>
  <c r="E93" i="22" s="1"/>
  <c r="D92" i="22"/>
  <c r="C92" i="22"/>
  <c r="E91" i="22"/>
  <c r="D91" i="22"/>
  <c r="D93" i="22" s="1"/>
  <c r="C91" i="22"/>
  <c r="C93" i="22"/>
  <c r="E87" i="22"/>
  <c r="D87" i="22"/>
  <c r="D88" i="22" s="1"/>
  <c r="C87" i="22"/>
  <c r="E86" i="22"/>
  <c r="D86" i="22"/>
  <c r="C86" i="22"/>
  <c r="C88" i="22"/>
  <c r="E83" i="22"/>
  <c r="D83" i="22"/>
  <c r="D101" i="22"/>
  <c r="C83" i="22"/>
  <c r="E76" i="22"/>
  <c r="D76" i="22"/>
  <c r="C76" i="22"/>
  <c r="C102" i="22" s="1"/>
  <c r="E75" i="22"/>
  <c r="E77" i="22" s="1"/>
  <c r="D75" i="22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/>
  <c r="D12" i="22"/>
  <c r="C12" i="22"/>
  <c r="C33" i="22"/>
  <c r="D21" i="21"/>
  <c r="C21" i="21"/>
  <c r="D19" i="21"/>
  <c r="C19" i="21"/>
  <c r="E17" i="21"/>
  <c r="F17" i="21" s="1"/>
  <c r="E15" i="21"/>
  <c r="F15" i="21" s="1"/>
  <c r="D45" i="20"/>
  <c r="C45" i="20"/>
  <c r="D44" i="20"/>
  <c r="C44" i="20"/>
  <c r="E44" i="20" s="1"/>
  <c r="F44" i="20" s="1"/>
  <c r="D43" i="20"/>
  <c r="D46" i="20"/>
  <c r="C43" i="20"/>
  <c r="C46" i="20" s="1"/>
  <c r="D36" i="20"/>
  <c r="D40" i="20" s="1"/>
  <c r="C36" i="20"/>
  <c r="C40" i="20" s="1"/>
  <c r="C41" i="20" s="1"/>
  <c r="E35" i="20"/>
  <c r="F35" i="20" s="1"/>
  <c r="E34" i="20"/>
  <c r="F34" i="20" s="1"/>
  <c r="E33" i="20"/>
  <c r="F30" i="20"/>
  <c r="E30" i="20"/>
  <c r="E29" i="20"/>
  <c r="F29" i="20" s="1"/>
  <c r="E28" i="20"/>
  <c r="F28" i="20" s="1"/>
  <c r="E27" i="20"/>
  <c r="F27" i="20" s="1"/>
  <c r="D25" i="20"/>
  <c r="D39" i="20" s="1"/>
  <c r="D41" i="20" s="1"/>
  <c r="C25" i="20"/>
  <c r="C39" i="20"/>
  <c r="E24" i="20"/>
  <c r="F24" i="20" s="1"/>
  <c r="E23" i="20"/>
  <c r="F23" i="20" s="1"/>
  <c r="E22" i="20"/>
  <c r="F22" i="20" s="1"/>
  <c r="D19" i="20"/>
  <c r="D20" i="20"/>
  <c r="C19" i="20"/>
  <c r="C20" i="20"/>
  <c r="E18" i="20"/>
  <c r="F18" i="20" s="1"/>
  <c r="D16" i="20"/>
  <c r="E16" i="20" s="1"/>
  <c r="F16" i="20" s="1"/>
  <c r="C16" i="20"/>
  <c r="E15" i="20"/>
  <c r="F15" i="20" s="1"/>
  <c r="E13" i="20"/>
  <c r="F13" i="20" s="1"/>
  <c r="E12" i="20"/>
  <c r="F12" i="20" s="1"/>
  <c r="C137" i="19"/>
  <c r="C139" i="19" s="1"/>
  <c r="C143" i="19" s="1"/>
  <c r="C115" i="19"/>
  <c r="C105" i="19"/>
  <c r="C96" i="19"/>
  <c r="C95" i="19"/>
  <c r="C89" i="19"/>
  <c r="C88" i="19"/>
  <c r="C83" i="19"/>
  <c r="C77" i="19"/>
  <c r="C78" i="19"/>
  <c r="C63" i="19"/>
  <c r="C60" i="19"/>
  <c r="C59" i="19"/>
  <c r="C48" i="19"/>
  <c r="C36" i="19"/>
  <c r="C32" i="19"/>
  <c r="C21" i="19"/>
  <c r="C22" i="19" s="1"/>
  <c r="E328" i="18"/>
  <c r="E325" i="18"/>
  <c r="D324" i="18"/>
  <c r="D326" i="18" s="1"/>
  <c r="C324" i="18"/>
  <c r="C326" i="18" s="1"/>
  <c r="C330" i="18" s="1"/>
  <c r="E318" i="18"/>
  <c r="E315" i="18"/>
  <c r="D314" i="18"/>
  <c r="C314" i="18"/>
  <c r="C316" i="18" s="1"/>
  <c r="E308" i="18"/>
  <c r="E305" i="18"/>
  <c r="D301" i="18"/>
  <c r="C301" i="18"/>
  <c r="E301" i="18" s="1"/>
  <c r="D293" i="18"/>
  <c r="C293" i="18"/>
  <c r="D292" i="18"/>
  <c r="E292" i="18" s="1"/>
  <c r="C292" i="18"/>
  <c r="D291" i="18"/>
  <c r="C291" i="18"/>
  <c r="E291" i="18" s="1"/>
  <c r="D290" i="18"/>
  <c r="C290" i="18"/>
  <c r="D288" i="18"/>
  <c r="E288" i="18" s="1"/>
  <c r="C288" i="18"/>
  <c r="D287" i="18"/>
  <c r="E287" i="18" s="1"/>
  <c r="C287" i="18"/>
  <c r="D282" i="18"/>
  <c r="C282" i="18"/>
  <c r="D281" i="18"/>
  <c r="C281" i="18"/>
  <c r="D280" i="18"/>
  <c r="C280" i="18"/>
  <c r="D279" i="18"/>
  <c r="C279" i="18"/>
  <c r="E279" i="18" s="1"/>
  <c r="D278" i="18"/>
  <c r="C278" i="18"/>
  <c r="E278" i="18"/>
  <c r="D277" i="18"/>
  <c r="C277" i="18"/>
  <c r="D276" i="18"/>
  <c r="C276" i="18"/>
  <c r="E270" i="18"/>
  <c r="D265" i="18"/>
  <c r="D302" i="18" s="1"/>
  <c r="C265" i="18"/>
  <c r="C302" i="18"/>
  <c r="E302" i="18" s="1"/>
  <c r="D262" i="18"/>
  <c r="C262" i="18"/>
  <c r="D251" i="18"/>
  <c r="C251" i="18"/>
  <c r="D233" i="18"/>
  <c r="C233" i="18"/>
  <c r="D232" i="18"/>
  <c r="C232" i="18"/>
  <c r="E232" i="18" s="1"/>
  <c r="D231" i="18"/>
  <c r="E231" i="18" s="1"/>
  <c r="C231" i="18"/>
  <c r="D230" i="18"/>
  <c r="E230" i="18" s="1"/>
  <c r="C230" i="18"/>
  <c r="D228" i="18"/>
  <c r="C228" i="18"/>
  <c r="E228" i="18" s="1"/>
  <c r="D227" i="18"/>
  <c r="C227" i="18"/>
  <c r="E227" i="18"/>
  <c r="D221" i="18"/>
  <c r="C221" i="18"/>
  <c r="C245" i="18" s="1"/>
  <c r="D220" i="18"/>
  <c r="D244" i="18" s="1"/>
  <c r="C220" i="18"/>
  <c r="C244" i="18" s="1"/>
  <c r="E244" i="18" s="1"/>
  <c r="E220" i="18"/>
  <c r="D219" i="18"/>
  <c r="E219" i="18" s="1"/>
  <c r="C219" i="18"/>
  <c r="C243" i="18"/>
  <c r="D218" i="18"/>
  <c r="D242" i="18"/>
  <c r="C218" i="18"/>
  <c r="D216" i="18"/>
  <c r="C216" i="18"/>
  <c r="C240" i="18"/>
  <c r="D215" i="18"/>
  <c r="C215" i="18"/>
  <c r="C239" i="18" s="1"/>
  <c r="D210" i="18"/>
  <c r="E209" i="18"/>
  <c r="E208" i="18"/>
  <c r="E207" i="18"/>
  <c r="E206" i="18"/>
  <c r="D205" i="18"/>
  <c r="D229" i="18"/>
  <c r="C205" i="18"/>
  <c r="C210" i="18"/>
  <c r="C211" i="18" s="1"/>
  <c r="E204" i="18"/>
  <c r="E203" i="18"/>
  <c r="E197" i="18"/>
  <c r="E196" i="18"/>
  <c r="D195" i="18"/>
  <c r="C195" i="18"/>
  <c r="C260" i="18" s="1"/>
  <c r="E194" i="18"/>
  <c r="E193" i="18"/>
  <c r="E192" i="18"/>
  <c r="E191" i="18"/>
  <c r="E190" i="18"/>
  <c r="D189" i="18"/>
  <c r="D188" i="18"/>
  <c r="D261" i="18" s="1"/>
  <c r="C188" i="18"/>
  <c r="E186" i="18"/>
  <c r="E185" i="18"/>
  <c r="D179" i="18"/>
  <c r="E179" i="18" s="1"/>
  <c r="C179" i="18"/>
  <c r="D178" i="18"/>
  <c r="C178" i="18"/>
  <c r="D177" i="18"/>
  <c r="C177" i="18"/>
  <c r="E177" i="18" s="1"/>
  <c r="D176" i="18"/>
  <c r="C176" i="18"/>
  <c r="D174" i="18"/>
  <c r="C174" i="18"/>
  <c r="D173" i="18"/>
  <c r="E173" i="18" s="1"/>
  <c r="C173" i="18"/>
  <c r="D167" i="18"/>
  <c r="C167" i="18"/>
  <c r="D166" i="18"/>
  <c r="E166" i="18" s="1"/>
  <c r="C166" i="18"/>
  <c r="D165" i="18"/>
  <c r="E165" i="18" s="1"/>
  <c r="C165" i="18"/>
  <c r="D164" i="18"/>
  <c r="C164" i="18"/>
  <c r="E164" i="18"/>
  <c r="D162" i="18"/>
  <c r="C162" i="18"/>
  <c r="D161" i="18"/>
  <c r="E161" i="18" s="1"/>
  <c r="C161" i="18"/>
  <c r="E155" i="18"/>
  <c r="E154" i="18"/>
  <c r="E153" i="18"/>
  <c r="E152" i="18"/>
  <c r="D151" i="18"/>
  <c r="C151" i="18"/>
  <c r="E150" i="18"/>
  <c r="E149" i="18"/>
  <c r="E143" i="18"/>
  <c r="E142" i="18"/>
  <c r="E141" i="18"/>
  <c r="E140" i="18"/>
  <c r="D139" i="18"/>
  <c r="C139" i="18"/>
  <c r="E138" i="18"/>
  <c r="E137" i="18"/>
  <c r="D75" i="18"/>
  <c r="C75" i="18"/>
  <c r="E75" i="18"/>
  <c r="D74" i="18"/>
  <c r="E74" i="18" s="1"/>
  <c r="C74" i="18"/>
  <c r="D73" i="18"/>
  <c r="C73" i="18"/>
  <c r="D72" i="18"/>
  <c r="C72" i="18"/>
  <c r="E72" i="18" s="1"/>
  <c r="C71" i="18"/>
  <c r="E71" i="18" s="1"/>
  <c r="D70" i="18"/>
  <c r="E70" i="18"/>
  <c r="C70" i="18"/>
  <c r="D69" i="18"/>
  <c r="C69" i="18"/>
  <c r="C65" i="18"/>
  <c r="E64" i="18"/>
  <c r="E63" i="18"/>
  <c r="E62" i="18"/>
  <c r="E61" i="18"/>
  <c r="D60" i="18"/>
  <c r="D289" i="18" s="1"/>
  <c r="E289" i="18" s="1"/>
  <c r="C60" i="18"/>
  <c r="C289" i="18" s="1"/>
  <c r="E59" i="18"/>
  <c r="E58" i="18"/>
  <c r="D54" i="18"/>
  <c r="C54" i="18"/>
  <c r="E53" i="18"/>
  <c r="E52" i="18"/>
  <c r="E51" i="18"/>
  <c r="E50" i="18"/>
  <c r="E49" i="18"/>
  <c r="E48" i="18"/>
  <c r="E47" i="18"/>
  <c r="D42" i="18"/>
  <c r="C42" i="18"/>
  <c r="E42" i="18" s="1"/>
  <c r="D41" i="18"/>
  <c r="E41" i="18" s="1"/>
  <c r="C41" i="18"/>
  <c r="D40" i="18"/>
  <c r="C40" i="18"/>
  <c r="D39" i="18"/>
  <c r="C39" i="18"/>
  <c r="E39" i="18"/>
  <c r="D38" i="18"/>
  <c r="E38" i="18" s="1"/>
  <c r="C38" i="18"/>
  <c r="D37" i="18"/>
  <c r="C37" i="18"/>
  <c r="E37" i="18"/>
  <c r="D36" i="18"/>
  <c r="C36" i="18"/>
  <c r="C44" i="18" s="1"/>
  <c r="C86" i="18" s="1"/>
  <c r="D32" i="18"/>
  <c r="C32" i="18"/>
  <c r="C33" i="18" s="1"/>
  <c r="E31" i="18"/>
  <c r="E30" i="18"/>
  <c r="E29" i="18"/>
  <c r="E28" i="18"/>
  <c r="E27" i="18"/>
  <c r="E26" i="18"/>
  <c r="E25" i="18"/>
  <c r="D21" i="18"/>
  <c r="C21" i="18"/>
  <c r="E20" i="18"/>
  <c r="E19" i="18"/>
  <c r="E18" i="18"/>
  <c r="E17" i="18"/>
  <c r="E16" i="18"/>
  <c r="E15" i="18"/>
  <c r="E14" i="18"/>
  <c r="E335" i="17"/>
  <c r="F335" i="17" s="1"/>
  <c r="F334" i="17"/>
  <c r="E334" i="17"/>
  <c r="E333" i="17"/>
  <c r="F333" i="17" s="1"/>
  <c r="F332" i="17"/>
  <c r="E332" i="17"/>
  <c r="E331" i="17"/>
  <c r="F331" i="17" s="1"/>
  <c r="E330" i="17"/>
  <c r="F330" i="17" s="1"/>
  <c r="F329" i="17"/>
  <c r="E329" i="17"/>
  <c r="F316" i="17"/>
  <c r="E316" i="17"/>
  <c r="D311" i="17"/>
  <c r="E311" i="17" s="1"/>
  <c r="C311" i="17"/>
  <c r="F311" i="17"/>
  <c r="F308" i="17"/>
  <c r="E308" i="17"/>
  <c r="D307" i="17"/>
  <c r="C307" i="17"/>
  <c r="E307" i="17" s="1"/>
  <c r="F307" i="17" s="1"/>
  <c r="D299" i="17"/>
  <c r="C299" i="17"/>
  <c r="D298" i="17"/>
  <c r="C298" i="17"/>
  <c r="D297" i="17"/>
  <c r="E297" i="17" s="1"/>
  <c r="C297" i="17"/>
  <c r="D296" i="17"/>
  <c r="C296" i="17"/>
  <c r="D295" i="17"/>
  <c r="E295" i="17" s="1"/>
  <c r="C295" i="17"/>
  <c r="D294" i="17"/>
  <c r="C294" i="17"/>
  <c r="D250" i="17"/>
  <c r="D306" i="17" s="1"/>
  <c r="C250" i="17"/>
  <c r="C306" i="17"/>
  <c r="E249" i="17"/>
  <c r="F249" i="17" s="1"/>
  <c r="E248" i="17"/>
  <c r="F248" i="17" s="1"/>
  <c r="F245" i="17"/>
  <c r="E245" i="17"/>
  <c r="E244" i="17"/>
  <c r="F244" i="17"/>
  <c r="E243" i="17"/>
  <c r="F243" i="17" s="1"/>
  <c r="D238" i="17"/>
  <c r="D239" i="17" s="1"/>
  <c r="C238" i="17"/>
  <c r="D237" i="17"/>
  <c r="E237" i="17" s="1"/>
  <c r="F237" i="17" s="1"/>
  <c r="C237" i="17"/>
  <c r="E234" i="17"/>
  <c r="F234" i="17" s="1"/>
  <c r="E233" i="17"/>
  <c r="F233" i="17" s="1"/>
  <c r="D230" i="17"/>
  <c r="C230" i="17"/>
  <c r="D229" i="17"/>
  <c r="C229" i="17"/>
  <c r="F229" i="17"/>
  <c r="E228" i="17"/>
  <c r="F228" i="17" s="1"/>
  <c r="D226" i="17"/>
  <c r="D227" i="17" s="1"/>
  <c r="E227" i="17" s="1"/>
  <c r="C226" i="17"/>
  <c r="C227" i="17" s="1"/>
  <c r="F227" i="17" s="1"/>
  <c r="E225" i="17"/>
  <c r="F225" i="17" s="1"/>
  <c r="E224" i="17"/>
  <c r="F224" i="17" s="1"/>
  <c r="D223" i="17"/>
  <c r="C223" i="17"/>
  <c r="F223" i="17" s="1"/>
  <c r="F222" i="17"/>
  <c r="E222" i="17"/>
  <c r="E221" i="17"/>
  <c r="F221" i="17"/>
  <c r="D204" i="17"/>
  <c r="D285" i="17"/>
  <c r="C204" i="17"/>
  <c r="D203" i="17"/>
  <c r="C203" i="17"/>
  <c r="C283" i="17" s="1"/>
  <c r="D198" i="17"/>
  <c r="C198" i="17"/>
  <c r="D191" i="17"/>
  <c r="C191" i="17"/>
  <c r="D189" i="17"/>
  <c r="C189" i="17"/>
  <c r="D188" i="17"/>
  <c r="C188" i="17"/>
  <c r="F180" i="17"/>
  <c r="D180" i="17"/>
  <c r="C180" i="17"/>
  <c r="D179" i="17"/>
  <c r="D181" i="17" s="1"/>
  <c r="C179" i="17"/>
  <c r="F171" i="17"/>
  <c r="D171" i="17"/>
  <c r="D172" i="17" s="1"/>
  <c r="C171" i="17"/>
  <c r="C172" i="17" s="1"/>
  <c r="C173" i="17" s="1"/>
  <c r="F173" i="17" s="1"/>
  <c r="D170" i="17"/>
  <c r="C170" i="17"/>
  <c r="F169" i="17"/>
  <c r="E169" i="17"/>
  <c r="F168" i="17"/>
  <c r="E168" i="17"/>
  <c r="F165" i="17"/>
  <c r="D165" i="17"/>
  <c r="C165" i="17"/>
  <c r="E165" i="17" s="1"/>
  <c r="D164" i="17"/>
  <c r="C164" i="17"/>
  <c r="F164" i="17" s="1"/>
  <c r="F163" i="17"/>
  <c r="E163" i="17"/>
  <c r="D158" i="17"/>
  <c r="C158" i="17"/>
  <c r="F157" i="17"/>
  <c r="E157" i="17"/>
  <c r="F156" i="17"/>
  <c r="E156" i="17"/>
  <c r="D155" i="17"/>
  <c r="C155" i="17"/>
  <c r="F155" i="17" s="1"/>
  <c r="F154" i="17"/>
  <c r="E154" i="17"/>
  <c r="F153" i="17"/>
  <c r="E153" i="17"/>
  <c r="D145" i="17"/>
  <c r="C145" i="17"/>
  <c r="E145" i="17" s="1"/>
  <c r="D144" i="17"/>
  <c r="C144" i="17"/>
  <c r="D136" i="17"/>
  <c r="D137" i="17" s="1"/>
  <c r="C136" i="17"/>
  <c r="C137" i="17" s="1"/>
  <c r="C138" i="17" s="1"/>
  <c r="D135" i="17"/>
  <c r="C135" i="17"/>
  <c r="E134" i="17"/>
  <c r="F134" i="17" s="1"/>
  <c r="F133" i="17"/>
  <c r="E133" i="17"/>
  <c r="D130" i="17"/>
  <c r="C130" i="17"/>
  <c r="D129" i="17"/>
  <c r="C129" i="17"/>
  <c r="E128" i="17"/>
  <c r="F128" i="17" s="1"/>
  <c r="D123" i="17"/>
  <c r="D124" i="17" s="1"/>
  <c r="C123" i="17"/>
  <c r="E122" i="17"/>
  <c r="F122" i="17" s="1"/>
  <c r="E121" i="17"/>
  <c r="F121" i="17" s="1"/>
  <c r="D120" i="17"/>
  <c r="C120" i="17"/>
  <c r="E119" i="17"/>
  <c r="F119" i="17"/>
  <c r="E118" i="17"/>
  <c r="F118" i="17" s="1"/>
  <c r="D110" i="17"/>
  <c r="C110" i="17"/>
  <c r="D109" i="17"/>
  <c r="D111" i="17" s="1"/>
  <c r="C109" i="17"/>
  <c r="E109" i="17" s="1"/>
  <c r="F109" i="17" s="1"/>
  <c r="D101" i="17"/>
  <c r="D102" i="17" s="1"/>
  <c r="C101" i="17"/>
  <c r="C102" i="17" s="1"/>
  <c r="D100" i="17"/>
  <c r="C100" i="17"/>
  <c r="E99" i="17"/>
  <c r="F99" i="17" s="1"/>
  <c r="E98" i="17"/>
  <c r="F98" i="17" s="1"/>
  <c r="D95" i="17"/>
  <c r="C95" i="17"/>
  <c r="D94" i="17"/>
  <c r="C94" i="17"/>
  <c r="E93" i="17"/>
  <c r="F93" i="17"/>
  <c r="D88" i="17"/>
  <c r="E88" i="17"/>
  <c r="F88" i="17" s="1"/>
  <c r="C88" i="17"/>
  <c r="C89" i="17" s="1"/>
  <c r="E87" i="17"/>
  <c r="F87" i="17" s="1"/>
  <c r="E86" i="17"/>
  <c r="F86" i="17"/>
  <c r="D85" i="17"/>
  <c r="E85" i="17"/>
  <c r="C85" i="17"/>
  <c r="E84" i="17"/>
  <c r="F84" i="17" s="1"/>
  <c r="E83" i="17"/>
  <c r="F83" i="17" s="1"/>
  <c r="C77" i="17"/>
  <c r="E77" i="17" s="1"/>
  <c r="D76" i="17"/>
  <c r="D77" i="17" s="1"/>
  <c r="C76" i="17"/>
  <c r="E76" i="17" s="1"/>
  <c r="F76" i="17" s="1"/>
  <c r="E74" i="17"/>
  <c r="F74" i="17"/>
  <c r="E73" i="17"/>
  <c r="F73" i="17" s="1"/>
  <c r="D67" i="17"/>
  <c r="C67" i="17"/>
  <c r="D66" i="17"/>
  <c r="D68" i="17" s="1"/>
  <c r="E68" i="17" s="1"/>
  <c r="C66" i="17"/>
  <c r="D59" i="17"/>
  <c r="D60" i="17" s="1"/>
  <c r="D61" i="17" s="1"/>
  <c r="C59" i="17"/>
  <c r="D58" i="17"/>
  <c r="C58" i="17"/>
  <c r="E57" i="17"/>
  <c r="F57" i="17"/>
  <c r="E56" i="17"/>
  <c r="F56" i="17"/>
  <c r="D53" i="17"/>
  <c r="C53" i="17"/>
  <c r="D52" i="17"/>
  <c r="C52" i="17"/>
  <c r="E51" i="17"/>
  <c r="F51" i="17"/>
  <c r="D47" i="17"/>
  <c r="D48" i="17" s="1"/>
  <c r="C47" i="17"/>
  <c r="E46" i="17"/>
  <c r="F46" i="17" s="1"/>
  <c r="E45" i="17"/>
  <c r="F45" i="17" s="1"/>
  <c r="D44" i="17"/>
  <c r="C44" i="17"/>
  <c r="E44" i="17" s="1"/>
  <c r="F44" i="17" s="1"/>
  <c r="E43" i="17"/>
  <c r="F43" i="17"/>
  <c r="E42" i="17"/>
  <c r="F42" i="17" s="1"/>
  <c r="D36" i="17"/>
  <c r="C36" i="17"/>
  <c r="D35" i="17"/>
  <c r="D37" i="17"/>
  <c r="C35" i="17"/>
  <c r="E35" i="17" s="1"/>
  <c r="F35" i="17" s="1"/>
  <c r="D30" i="17"/>
  <c r="E30" i="17" s="1"/>
  <c r="F30" i="17" s="1"/>
  <c r="D31" i="17"/>
  <c r="D32" i="17" s="1"/>
  <c r="C30" i="17"/>
  <c r="C31" i="17" s="1"/>
  <c r="D29" i="17"/>
  <c r="E29" i="17" s="1"/>
  <c r="F29" i="17" s="1"/>
  <c r="C29" i="17"/>
  <c r="E28" i="17"/>
  <c r="F28" i="17" s="1"/>
  <c r="E27" i="17"/>
  <c r="F27" i="17"/>
  <c r="D24" i="17"/>
  <c r="E24" i="17" s="1"/>
  <c r="F24" i="17" s="1"/>
  <c r="C24" i="17"/>
  <c r="D23" i="17"/>
  <c r="C23" i="17"/>
  <c r="E22" i="17"/>
  <c r="F22" i="17" s="1"/>
  <c r="D20" i="17"/>
  <c r="C20" i="17"/>
  <c r="E19" i="17"/>
  <c r="F19" i="17" s="1"/>
  <c r="E18" i="17"/>
  <c r="F18" i="17"/>
  <c r="D17" i="17"/>
  <c r="C17" i="17"/>
  <c r="E16" i="17"/>
  <c r="F16" i="17"/>
  <c r="E15" i="17"/>
  <c r="F15" i="17" s="1"/>
  <c r="D21" i="16"/>
  <c r="C21" i="16"/>
  <c r="E20" i="16"/>
  <c r="F20" i="16" s="1"/>
  <c r="D17" i="16"/>
  <c r="C17" i="16"/>
  <c r="E16" i="16"/>
  <c r="F16" i="16" s="1"/>
  <c r="D13" i="16"/>
  <c r="E13" i="16" s="1"/>
  <c r="F13" i="16" s="1"/>
  <c r="C13" i="16"/>
  <c r="E12" i="16"/>
  <c r="F12" i="16" s="1"/>
  <c r="D107" i="15"/>
  <c r="C107" i="15"/>
  <c r="E106" i="15"/>
  <c r="F106" i="15" s="1"/>
  <c r="E105" i="15"/>
  <c r="F105" i="15" s="1"/>
  <c r="E104" i="15"/>
  <c r="F104" i="15" s="1"/>
  <c r="D100" i="15"/>
  <c r="C100" i="15"/>
  <c r="E100" i="15" s="1"/>
  <c r="E99" i="15"/>
  <c r="F99" i="15" s="1"/>
  <c r="F98" i="15"/>
  <c r="E98" i="15"/>
  <c r="E97" i="15"/>
  <c r="F97" i="15" s="1"/>
  <c r="E96" i="15"/>
  <c r="F96" i="15" s="1"/>
  <c r="E95" i="15"/>
  <c r="F95" i="15" s="1"/>
  <c r="D92" i="15"/>
  <c r="C92" i="15"/>
  <c r="E91" i="15"/>
  <c r="F91" i="15" s="1"/>
  <c r="F90" i="15"/>
  <c r="E90" i="15"/>
  <c r="F89" i="15"/>
  <c r="E89" i="15"/>
  <c r="F88" i="15"/>
  <c r="E88" i="15"/>
  <c r="F87" i="15"/>
  <c r="E87" i="15"/>
  <c r="E86" i="15"/>
  <c r="F86" i="15" s="1"/>
  <c r="F85" i="15"/>
  <c r="E85" i="15"/>
  <c r="F84" i="15"/>
  <c r="E84" i="15"/>
  <c r="F83" i="15"/>
  <c r="E83" i="15"/>
  <c r="F82" i="15"/>
  <c r="E82" i="15"/>
  <c r="E81" i="15"/>
  <c r="F81" i="15" s="1"/>
  <c r="F80" i="15"/>
  <c r="E80" i="15"/>
  <c r="E79" i="15"/>
  <c r="F79" i="15" s="1"/>
  <c r="D75" i="15"/>
  <c r="C75" i="15"/>
  <c r="F75" i="15" s="1"/>
  <c r="F74" i="15"/>
  <c r="E74" i="15"/>
  <c r="E73" i="15"/>
  <c r="F73" i="15" s="1"/>
  <c r="E75" i="15"/>
  <c r="D70" i="15"/>
  <c r="E70" i="15" s="1"/>
  <c r="F70" i="15" s="1"/>
  <c r="C70" i="15"/>
  <c r="E69" i="15"/>
  <c r="F69" i="15" s="1"/>
  <c r="E68" i="15"/>
  <c r="F68" i="15" s="1"/>
  <c r="D65" i="15"/>
  <c r="C65" i="15"/>
  <c r="E64" i="15"/>
  <c r="F64" i="15" s="1"/>
  <c r="F63" i="15"/>
  <c r="E63" i="15"/>
  <c r="D60" i="15"/>
  <c r="C60" i="15"/>
  <c r="F60" i="15" s="1"/>
  <c r="F59" i="15"/>
  <c r="E59" i="15"/>
  <c r="F58" i="15"/>
  <c r="E58" i="15"/>
  <c r="E60" i="15"/>
  <c r="D55" i="15"/>
  <c r="C55" i="15"/>
  <c r="F55" i="15" s="1"/>
  <c r="F54" i="15"/>
  <c r="E54" i="15"/>
  <c r="F53" i="15"/>
  <c r="E53" i="15"/>
  <c r="D50" i="15"/>
  <c r="E50" i="15" s="1"/>
  <c r="C50" i="15"/>
  <c r="F50" i="15" s="1"/>
  <c r="F49" i="15"/>
  <c r="E49" i="15"/>
  <c r="F48" i="15"/>
  <c r="E48" i="15"/>
  <c r="D45" i="15"/>
  <c r="C45" i="15"/>
  <c r="E45" i="15" s="1"/>
  <c r="F45" i="15" s="1"/>
  <c r="E44" i="15"/>
  <c r="F44" i="15" s="1"/>
  <c r="E43" i="15"/>
  <c r="F43" i="15" s="1"/>
  <c r="D37" i="15"/>
  <c r="C37" i="15"/>
  <c r="F37" i="15" s="1"/>
  <c r="F36" i="15"/>
  <c r="E36" i="15"/>
  <c r="F35" i="15"/>
  <c r="E35" i="15"/>
  <c r="F34" i="15"/>
  <c r="E34" i="15"/>
  <c r="F33" i="15"/>
  <c r="E33" i="15"/>
  <c r="D30" i="15"/>
  <c r="E30" i="15"/>
  <c r="F30" i="15"/>
  <c r="C30" i="15"/>
  <c r="F29" i="15"/>
  <c r="E29" i="15"/>
  <c r="F28" i="15"/>
  <c r="E28" i="15"/>
  <c r="E27" i="15"/>
  <c r="F27" i="15" s="1"/>
  <c r="F26" i="15"/>
  <c r="E26" i="15"/>
  <c r="D23" i="15"/>
  <c r="E23" i="15" s="1"/>
  <c r="C23" i="15"/>
  <c r="F22" i="15"/>
  <c r="E22" i="15"/>
  <c r="E21" i="15"/>
  <c r="F21" i="15" s="1"/>
  <c r="E20" i="15"/>
  <c r="F20" i="15" s="1"/>
  <c r="E19" i="15"/>
  <c r="F19" i="15" s="1"/>
  <c r="D16" i="15"/>
  <c r="E16" i="15"/>
  <c r="C16" i="15"/>
  <c r="F15" i="15"/>
  <c r="E15" i="15"/>
  <c r="F14" i="15"/>
  <c r="E14" i="15"/>
  <c r="E13" i="15"/>
  <c r="F13" i="15" s="1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F17" i="14"/>
  <c r="F31" i="14" s="1"/>
  <c r="H31" i="14" s="1"/>
  <c r="F33" i="14"/>
  <c r="E17" i="14"/>
  <c r="E31" i="14" s="1"/>
  <c r="D17" i="14"/>
  <c r="D31" i="14" s="1"/>
  <c r="C17" i="14"/>
  <c r="C31" i="14" s="1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 s="1"/>
  <c r="E77" i="13" s="1"/>
  <c r="D78" i="13"/>
  <c r="C78" i="13"/>
  <c r="E73" i="13"/>
  <c r="E75" i="13" s="1"/>
  <c r="D73" i="13"/>
  <c r="D75" i="13" s="1"/>
  <c r="C73" i="13"/>
  <c r="C75" i="13" s="1"/>
  <c r="E71" i="13"/>
  <c r="D71" i="13"/>
  <c r="C71" i="13"/>
  <c r="E66" i="13"/>
  <c r="E65" i="13" s="1"/>
  <c r="D66" i="13"/>
  <c r="D65" i="13" s="1"/>
  <c r="C66" i="13"/>
  <c r="C65" i="13" s="1"/>
  <c r="E60" i="13"/>
  <c r="D60" i="13"/>
  <c r="C60" i="13"/>
  <c r="E58" i="13"/>
  <c r="D58" i="13"/>
  <c r="C58" i="13"/>
  <c r="E55" i="13"/>
  <c r="D55" i="13"/>
  <c r="C55" i="13"/>
  <c r="E54" i="13"/>
  <c r="D54" i="13"/>
  <c r="C54" i="13"/>
  <c r="E50" i="13"/>
  <c r="E46" i="13"/>
  <c r="E59" i="13" s="1"/>
  <c r="D46" i="13"/>
  <c r="D59" i="13" s="1"/>
  <c r="C46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13" i="13"/>
  <c r="E15" i="13" s="1"/>
  <c r="E25" i="13"/>
  <c r="D13" i="13"/>
  <c r="C13" i="13"/>
  <c r="D47" i="12"/>
  <c r="C47" i="12"/>
  <c r="E46" i="12"/>
  <c r="F46" i="12" s="1"/>
  <c r="F45" i="12"/>
  <c r="E45" i="12"/>
  <c r="D40" i="12"/>
  <c r="C40" i="12"/>
  <c r="E39" i="12"/>
  <c r="F39" i="12" s="1"/>
  <c r="E38" i="12"/>
  <c r="F38" i="12" s="1"/>
  <c r="F37" i="12"/>
  <c r="E37" i="12"/>
  <c r="D32" i="12"/>
  <c r="E32" i="12" s="1"/>
  <c r="C32" i="12"/>
  <c r="E31" i="12"/>
  <c r="F31" i="12" s="1"/>
  <c r="E30" i="12"/>
  <c r="F30" i="12" s="1"/>
  <c r="E29" i="12"/>
  <c r="F29" i="12" s="1"/>
  <c r="F28" i="12"/>
  <c r="E28" i="12"/>
  <c r="E27" i="12"/>
  <c r="F27" i="12" s="1"/>
  <c r="E26" i="12"/>
  <c r="F26" i="12" s="1"/>
  <c r="E25" i="12"/>
  <c r="F25" i="12" s="1"/>
  <c r="E24" i="12"/>
  <c r="F24" i="12" s="1"/>
  <c r="E23" i="12"/>
  <c r="F23" i="12" s="1"/>
  <c r="F19" i="12"/>
  <c r="E19" i="12"/>
  <c r="E18" i="12"/>
  <c r="F18" i="12" s="1"/>
  <c r="E16" i="12"/>
  <c r="F16" i="12" s="1"/>
  <c r="D15" i="12"/>
  <c r="C15" i="12"/>
  <c r="C17" i="12" s="1"/>
  <c r="C20" i="12" s="1"/>
  <c r="C34" i="12" s="1"/>
  <c r="F14" i="12"/>
  <c r="E14" i="12"/>
  <c r="F13" i="12"/>
  <c r="E13" i="12"/>
  <c r="E12" i="12"/>
  <c r="F12" i="12" s="1"/>
  <c r="E11" i="12"/>
  <c r="F11" i="12" s="1"/>
  <c r="D73" i="11"/>
  <c r="C73" i="11"/>
  <c r="E73" i="11" s="1"/>
  <c r="F73" i="11" s="1"/>
  <c r="E72" i="11"/>
  <c r="F72" i="11" s="1"/>
  <c r="E71" i="11"/>
  <c r="F71" i="11" s="1"/>
  <c r="E70" i="11"/>
  <c r="F70" i="11" s="1"/>
  <c r="E67" i="11"/>
  <c r="F67" i="11" s="1"/>
  <c r="E64" i="11"/>
  <c r="F64" i="11" s="1"/>
  <c r="E63" i="11"/>
  <c r="F63" i="11" s="1"/>
  <c r="D61" i="11"/>
  <c r="E61" i="11" s="1"/>
  <c r="F61" i="11" s="1"/>
  <c r="D65" i="11"/>
  <c r="C61" i="11"/>
  <c r="C65" i="11" s="1"/>
  <c r="F60" i="11"/>
  <c r="E60" i="11"/>
  <c r="E59" i="11"/>
  <c r="F59" i="11" s="1"/>
  <c r="D56" i="11"/>
  <c r="C56" i="11"/>
  <c r="E55" i="11"/>
  <c r="F55" i="11" s="1"/>
  <c r="F54" i="11"/>
  <c r="E54" i="11"/>
  <c r="F53" i="11"/>
  <c r="E53" i="11"/>
  <c r="F52" i="11"/>
  <c r="E52" i="11"/>
  <c r="E51" i="11"/>
  <c r="F51" i="11" s="1"/>
  <c r="A52" i="11"/>
  <c r="A53" i="11" s="1"/>
  <c r="A54" i="11" s="1"/>
  <c r="A55" i="11" s="1"/>
  <c r="E50" i="11"/>
  <c r="F50" i="11" s="1"/>
  <c r="A50" i="11"/>
  <c r="A51" i="11" s="1"/>
  <c r="E49" i="11"/>
  <c r="F49" i="11" s="1"/>
  <c r="E40" i="11"/>
  <c r="F40" i="11" s="1"/>
  <c r="D38" i="11"/>
  <c r="D41" i="11" s="1"/>
  <c r="C38" i="11"/>
  <c r="C41" i="11" s="1"/>
  <c r="E37" i="11"/>
  <c r="F37" i="11" s="1"/>
  <c r="E36" i="11"/>
  <c r="F36" i="11" s="1"/>
  <c r="E33" i="11"/>
  <c r="F33" i="11" s="1"/>
  <c r="E32" i="11"/>
  <c r="F32" i="11" s="1"/>
  <c r="F31" i="11"/>
  <c r="E31" i="11"/>
  <c r="D29" i="11"/>
  <c r="C29" i="11"/>
  <c r="E28" i="11"/>
  <c r="F28" i="11" s="1"/>
  <c r="E27" i="11"/>
  <c r="F27" i="11" s="1"/>
  <c r="E26" i="11"/>
  <c r="F26" i="11" s="1"/>
  <c r="E25" i="11"/>
  <c r="F25" i="11" s="1"/>
  <c r="D22" i="11"/>
  <c r="C22" i="11"/>
  <c r="E21" i="11"/>
  <c r="F21" i="11" s="1"/>
  <c r="E20" i="11"/>
  <c r="F20" i="11" s="1"/>
  <c r="E19" i="11"/>
  <c r="F19" i="11" s="1"/>
  <c r="F18" i="11"/>
  <c r="E18" i="11"/>
  <c r="F17" i="11"/>
  <c r="E17" i="11"/>
  <c r="E16" i="11"/>
  <c r="F16" i="11" s="1"/>
  <c r="E15" i="11"/>
  <c r="F15" i="11" s="1"/>
  <c r="E14" i="11"/>
  <c r="F14" i="11" s="1"/>
  <c r="F13" i="11"/>
  <c r="E13" i="11"/>
  <c r="D120" i="10"/>
  <c r="E120" i="10" s="1"/>
  <c r="C120" i="10"/>
  <c r="F120" i="10" s="1"/>
  <c r="D119" i="10"/>
  <c r="C119" i="10"/>
  <c r="F119" i="10" s="1"/>
  <c r="D118" i="10"/>
  <c r="E118" i="10"/>
  <c r="C118" i="10"/>
  <c r="F118" i="10" s="1"/>
  <c r="D117" i="10"/>
  <c r="E117" i="10" s="1"/>
  <c r="C117" i="10"/>
  <c r="F117" i="10" s="1"/>
  <c r="D116" i="10"/>
  <c r="E116" i="10" s="1"/>
  <c r="C116" i="10"/>
  <c r="F116" i="10" s="1"/>
  <c r="D115" i="10"/>
  <c r="C115" i="10"/>
  <c r="F115" i="10" s="1"/>
  <c r="D114" i="10"/>
  <c r="E114" i="10" s="1"/>
  <c r="C114" i="10"/>
  <c r="F114" i="10" s="1"/>
  <c r="D113" i="10"/>
  <c r="C113" i="10"/>
  <c r="D112" i="10"/>
  <c r="C112" i="10"/>
  <c r="C121" i="10" s="1"/>
  <c r="F121" i="10" s="1"/>
  <c r="F108" i="10"/>
  <c r="D108" i="10"/>
  <c r="E108" i="10"/>
  <c r="C108" i="10"/>
  <c r="F107" i="10"/>
  <c r="D107" i="10"/>
  <c r="E107" i="10" s="1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D95" i="10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 s="1"/>
  <c r="C84" i="10"/>
  <c r="D83" i="10"/>
  <c r="E83" i="10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D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 s="1"/>
  <c r="C60" i="10"/>
  <c r="D59" i="10"/>
  <c r="C59" i="10"/>
  <c r="F59" i="10" s="1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D47" i="10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E36" i="10" s="1"/>
  <c r="C36" i="10"/>
  <c r="F36" i="10" s="1"/>
  <c r="D35" i="10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 s="1"/>
  <c r="D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E205" i="9" s="1"/>
  <c r="C205" i="9"/>
  <c r="D204" i="9"/>
  <c r="C204" i="9"/>
  <c r="D203" i="9"/>
  <c r="E203" i="9"/>
  <c r="F203" i="9" s="1"/>
  <c r="C203" i="9"/>
  <c r="D202" i="9"/>
  <c r="E202" i="9" s="1"/>
  <c r="F202" i="9" s="1"/>
  <c r="C202" i="9"/>
  <c r="D201" i="9"/>
  <c r="E201" i="9" s="1"/>
  <c r="C201" i="9"/>
  <c r="D200" i="9"/>
  <c r="C200" i="9"/>
  <c r="D199" i="9"/>
  <c r="C199" i="9"/>
  <c r="D198" i="9"/>
  <c r="D207" i="9" s="1"/>
  <c r="C198" i="9"/>
  <c r="D193" i="9"/>
  <c r="E193" i="9"/>
  <c r="C193" i="9"/>
  <c r="F193" i="9" s="1"/>
  <c r="D192" i="9"/>
  <c r="C192" i="9"/>
  <c r="F192" i="9" s="1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D180" i="9"/>
  <c r="C180" i="9"/>
  <c r="F180" i="9" s="1"/>
  <c r="D179" i="9"/>
  <c r="C179" i="9"/>
  <c r="F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D166" i="9"/>
  <c r="E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4" i="9" s="1"/>
  <c r="D153" i="9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 s="1"/>
  <c r="C141" i="9"/>
  <c r="F141" i="9" s="1"/>
  <c r="D140" i="9"/>
  <c r="C140" i="9"/>
  <c r="E139" i="9"/>
  <c r="F139" i="9" s="1"/>
  <c r="F138" i="9"/>
  <c r="E138" i="9"/>
  <c r="E137" i="9"/>
  <c r="F137" i="9" s="1"/>
  <c r="E136" i="9"/>
  <c r="F136" i="9" s="1"/>
  <c r="E135" i="9"/>
  <c r="F135" i="9" s="1"/>
  <c r="E134" i="9"/>
  <c r="F134" i="9" s="1"/>
  <c r="E133" i="9"/>
  <c r="F133" i="9" s="1"/>
  <c r="F132" i="9"/>
  <c r="E132" i="9"/>
  <c r="E131" i="9"/>
  <c r="F131" i="9" s="1"/>
  <c r="D128" i="9"/>
  <c r="C128" i="9"/>
  <c r="D127" i="9"/>
  <c r="E127" i="9" s="1"/>
  <c r="C127" i="9"/>
  <c r="F126" i="9"/>
  <c r="E126" i="9"/>
  <c r="E125" i="9"/>
  <c r="F125" i="9" s="1"/>
  <c r="E124" i="9"/>
  <c r="F124" i="9" s="1"/>
  <c r="E123" i="9"/>
  <c r="F123" i="9" s="1"/>
  <c r="F122" i="9"/>
  <c r="E122" i="9"/>
  <c r="E121" i="9"/>
  <c r="F121" i="9" s="1"/>
  <c r="E120" i="9"/>
  <c r="F120" i="9" s="1"/>
  <c r="E119" i="9"/>
  <c r="F119" i="9" s="1"/>
  <c r="E118" i="9"/>
  <c r="F118" i="9" s="1"/>
  <c r="D115" i="9"/>
  <c r="E115" i="9"/>
  <c r="F115" i="9" s="1"/>
  <c r="C115" i="9"/>
  <c r="D114" i="9"/>
  <c r="C114" i="9"/>
  <c r="E113" i="9"/>
  <c r="F113" i="9" s="1"/>
  <c r="E112" i="9"/>
  <c r="F112" i="9" s="1"/>
  <c r="E111" i="9"/>
  <c r="F111" i="9" s="1"/>
  <c r="F110" i="9"/>
  <c r="E110" i="9"/>
  <c r="E109" i="9"/>
  <c r="F109" i="9" s="1"/>
  <c r="E108" i="9"/>
  <c r="F108" i="9" s="1"/>
  <c r="E107" i="9"/>
  <c r="F107" i="9" s="1"/>
  <c r="E106" i="9"/>
  <c r="F106" i="9" s="1"/>
  <c r="E105" i="9"/>
  <c r="F105" i="9" s="1"/>
  <c r="D102" i="9"/>
  <c r="C102" i="9"/>
  <c r="D101" i="9"/>
  <c r="C101" i="9"/>
  <c r="E100" i="9"/>
  <c r="F100" i="9" s="1"/>
  <c r="E99" i="9"/>
  <c r="F99" i="9" s="1"/>
  <c r="F98" i="9"/>
  <c r="E98" i="9"/>
  <c r="E97" i="9"/>
  <c r="F97" i="9" s="1"/>
  <c r="E96" i="9"/>
  <c r="F96" i="9" s="1"/>
  <c r="E95" i="9"/>
  <c r="F95" i="9" s="1"/>
  <c r="E94" i="9"/>
  <c r="F94" i="9" s="1"/>
  <c r="F93" i="9"/>
  <c r="E93" i="9"/>
  <c r="E92" i="9"/>
  <c r="F92" i="9" s="1"/>
  <c r="D89" i="9"/>
  <c r="C89" i="9"/>
  <c r="D88" i="9"/>
  <c r="C88" i="9"/>
  <c r="F88" i="9" s="1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C75" i="9"/>
  <c r="F75" i="9" s="1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D63" i="9"/>
  <c r="C63" i="9"/>
  <c r="F63" i="9" s="1"/>
  <c r="D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C49" i="9"/>
  <c r="E48" i="9"/>
  <c r="F48" i="9" s="1"/>
  <c r="F47" i="9"/>
  <c r="E47" i="9"/>
  <c r="E46" i="9"/>
  <c r="F46" i="9" s="1"/>
  <c r="E45" i="9"/>
  <c r="F45" i="9" s="1"/>
  <c r="E44" i="9"/>
  <c r="F44" i="9" s="1"/>
  <c r="F43" i="9"/>
  <c r="E43" i="9"/>
  <c r="F42" i="9"/>
  <c r="E42" i="9"/>
  <c r="E41" i="9"/>
  <c r="F41" i="9" s="1"/>
  <c r="E40" i="9"/>
  <c r="F40" i="9" s="1"/>
  <c r="F37" i="9"/>
  <c r="D37" i="9"/>
  <c r="E37" i="9" s="1"/>
  <c r="C37" i="9"/>
  <c r="F36" i="9"/>
  <c r="D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 s="1"/>
  <c r="F24" i="9" s="1"/>
  <c r="C24" i="9"/>
  <c r="D23" i="9"/>
  <c r="E23" i="9" s="1"/>
  <c r="C23" i="9"/>
  <c r="E22" i="9"/>
  <c r="F22" i="9" s="1"/>
  <c r="E21" i="9"/>
  <c r="F21" i="9" s="1"/>
  <c r="E20" i="9"/>
  <c r="F20" i="9" s="1"/>
  <c r="F19" i="9"/>
  <c r="E19" i="9"/>
  <c r="E18" i="9"/>
  <c r="F18" i="9" s="1"/>
  <c r="E17" i="9"/>
  <c r="F17" i="9" s="1"/>
  <c r="E16" i="9"/>
  <c r="F16" i="9" s="1"/>
  <c r="E15" i="9"/>
  <c r="F15" i="9" s="1"/>
  <c r="F14" i="9"/>
  <c r="E14" i="9"/>
  <c r="E191" i="8"/>
  <c r="D191" i="8"/>
  <c r="C191" i="8"/>
  <c r="E176" i="8"/>
  <c r="D176" i="8"/>
  <c r="C176" i="8"/>
  <c r="E164" i="8"/>
  <c r="E160" i="8" s="1"/>
  <c r="E166" i="8" s="1"/>
  <c r="D164" i="8"/>
  <c r="D160" i="8" s="1"/>
  <c r="C164" i="8"/>
  <c r="E162" i="8"/>
  <c r="D162" i="8"/>
  <c r="C162" i="8"/>
  <c r="E161" i="8"/>
  <c r="D161" i="8"/>
  <c r="C161" i="8"/>
  <c r="C166" i="8" s="1"/>
  <c r="C160" i="8"/>
  <c r="E147" i="8"/>
  <c r="D147" i="8"/>
  <c r="D143" i="8" s="1"/>
  <c r="D149" i="8" s="1"/>
  <c r="D138" i="8" s="1"/>
  <c r="C147" i="8"/>
  <c r="C143" i="8" s="1"/>
  <c r="C149" i="8" s="1"/>
  <c r="E145" i="8"/>
  <c r="D145" i="8"/>
  <c r="C145" i="8"/>
  <c r="E144" i="8"/>
  <c r="D144" i="8"/>
  <c r="C144" i="8"/>
  <c r="E143" i="8"/>
  <c r="E126" i="8"/>
  <c r="D126" i="8"/>
  <c r="C126" i="8"/>
  <c r="E119" i="8"/>
  <c r="D119" i="8"/>
  <c r="C119" i="8"/>
  <c r="E108" i="8"/>
  <c r="D108" i="8"/>
  <c r="C108" i="8"/>
  <c r="C109" i="8" s="1"/>
  <c r="C106" i="8" s="1"/>
  <c r="E107" i="8"/>
  <c r="E109" i="8" s="1"/>
  <c r="E106" i="8" s="1"/>
  <c r="D107" i="8"/>
  <c r="D109" i="8"/>
  <c r="D106" i="8" s="1"/>
  <c r="C107" i="8"/>
  <c r="E104" i="8"/>
  <c r="C104" i="8"/>
  <c r="E102" i="8"/>
  <c r="D102" i="8"/>
  <c r="D104" i="8" s="1"/>
  <c r="C102" i="8"/>
  <c r="E100" i="8"/>
  <c r="D100" i="8"/>
  <c r="C100" i="8"/>
  <c r="E95" i="8"/>
  <c r="E94" i="8" s="1"/>
  <c r="D95" i="8"/>
  <c r="D94" i="8" s="1"/>
  <c r="C95" i="8"/>
  <c r="C94" i="8" s="1"/>
  <c r="E89" i="8"/>
  <c r="D89" i="8"/>
  <c r="C89" i="8"/>
  <c r="E87" i="8"/>
  <c r="D87" i="8"/>
  <c r="C87" i="8"/>
  <c r="E84" i="8"/>
  <c r="D84" i="8"/>
  <c r="C84" i="8"/>
  <c r="C79" i="8" s="1"/>
  <c r="E83" i="8"/>
  <c r="D83" i="8"/>
  <c r="D79" i="8" s="1"/>
  <c r="C83" i="8"/>
  <c r="E75" i="8"/>
  <c r="D75" i="8"/>
  <c r="D88" i="8" s="1"/>
  <c r="C75" i="8"/>
  <c r="E74" i="8"/>
  <c r="D74" i="8"/>
  <c r="C74" i="8"/>
  <c r="E67" i="8"/>
  <c r="D67" i="8"/>
  <c r="C67" i="8"/>
  <c r="E38" i="8"/>
  <c r="E57" i="8" s="1"/>
  <c r="E62" i="8"/>
  <c r="D38" i="8"/>
  <c r="D57" i="8" s="1"/>
  <c r="D62" i="8" s="1"/>
  <c r="C38" i="8"/>
  <c r="E33" i="8"/>
  <c r="E34" i="8" s="1"/>
  <c r="D33" i="8"/>
  <c r="D34" i="8"/>
  <c r="E26" i="8"/>
  <c r="D26" i="8"/>
  <c r="C26" i="8"/>
  <c r="E15" i="8"/>
  <c r="E24" i="8" s="1"/>
  <c r="E13" i="8"/>
  <c r="E25" i="8" s="1"/>
  <c r="D13" i="8"/>
  <c r="D25" i="8" s="1"/>
  <c r="C13" i="8"/>
  <c r="C15" i="8" s="1"/>
  <c r="C24" i="8" s="1"/>
  <c r="E186" i="7"/>
  <c r="F186" i="7" s="1"/>
  <c r="D183" i="7"/>
  <c r="D188" i="7"/>
  <c r="C183" i="7"/>
  <c r="C188" i="7" s="1"/>
  <c r="E182" i="7"/>
  <c r="F182" i="7"/>
  <c r="E181" i="7"/>
  <c r="F181" i="7" s="1"/>
  <c r="F180" i="7"/>
  <c r="E180" i="7"/>
  <c r="E179" i="7"/>
  <c r="F179" i="7" s="1"/>
  <c r="F178" i="7"/>
  <c r="E178" i="7"/>
  <c r="F177" i="7"/>
  <c r="E177" i="7"/>
  <c r="E176" i="7"/>
  <c r="F176" i="7"/>
  <c r="E175" i="7"/>
  <c r="F175" i="7" s="1"/>
  <c r="F174" i="7"/>
  <c r="E174" i="7"/>
  <c r="E173" i="7"/>
  <c r="F173" i="7" s="1"/>
  <c r="F172" i="7"/>
  <c r="E172" i="7"/>
  <c r="E171" i="7"/>
  <c r="F171" i="7" s="1"/>
  <c r="E170" i="7"/>
  <c r="F170" i="7" s="1"/>
  <c r="D167" i="7"/>
  <c r="C167" i="7"/>
  <c r="E166" i="7"/>
  <c r="F166" i="7"/>
  <c r="F165" i="7"/>
  <c r="E165" i="7"/>
  <c r="E164" i="7"/>
  <c r="F164" i="7" s="1"/>
  <c r="F163" i="7"/>
  <c r="E163" i="7"/>
  <c r="F162" i="7"/>
  <c r="E162" i="7"/>
  <c r="E161" i="7"/>
  <c r="F161" i="7" s="1"/>
  <c r="E160" i="7"/>
  <c r="F160" i="7" s="1"/>
  <c r="F159" i="7"/>
  <c r="E159" i="7"/>
  <c r="E158" i="7"/>
  <c r="F158" i="7" s="1"/>
  <c r="E157" i="7"/>
  <c r="F157" i="7" s="1"/>
  <c r="E156" i="7"/>
  <c r="F156" i="7"/>
  <c r="F155" i="7"/>
  <c r="E155" i="7"/>
  <c r="E154" i="7"/>
  <c r="F154" i="7" s="1"/>
  <c r="F153" i="7"/>
  <c r="E153" i="7"/>
  <c r="E152" i="7"/>
  <c r="F152" i="7" s="1"/>
  <c r="E151" i="7"/>
  <c r="F151" i="7"/>
  <c r="E150" i="7"/>
  <c r="F150" i="7" s="1"/>
  <c r="F149" i="7"/>
  <c r="E149" i="7"/>
  <c r="E148" i="7"/>
  <c r="F148" i="7" s="1"/>
  <c r="E147" i="7"/>
  <c r="F147" i="7"/>
  <c r="E146" i="7"/>
  <c r="F146" i="7" s="1"/>
  <c r="F145" i="7"/>
  <c r="E145" i="7"/>
  <c r="E144" i="7"/>
  <c r="F144" i="7" s="1"/>
  <c r="F143" i="7"/>
  <c r="E143" i="7"/>
  <c r="E142" i="7"/>
  <c r="F142" i="7" s="1"/>
  <c r="E141" i="7"/>
  <c r="F141" i="7" s="1"/>
  <c r="E140" i="7"/>
  <c r="F140" i="7" s="1"/>
  <c r="E139" i="7"/>
  <c r="F139" i="7" s="1"/>
  <c r="E138" i="7"/>
  <c r="F138" i="7"/>
  <c r="E137" i="7"/>
  <c r="F137" i="7" s="1"/>
  <c r="E136" i="7"/>
  <c r="F136" i="7"/>
  <c r="E135" i="7"/>
  <c r="F135" i="7" s="1"/>
  <c r="E134" i="7"/>
  <c r="F134" i="7" s="1"/>
  <c r="E133" i="7"/>
  <c r="F133" i="7" s="1"/>
  <c r="D130" i="7"/>
  <c r="C130" i="7"/>
  <c r="E129" i="7"/>
  <c r="F129" i="7" s="1"/>
  <c r="F128" i="7"/>
  <c r="E128" i="7"/>
  <c r="E127" i="7"/>
  <c r="F127" i="7" s="1"/>
  <c r="E126" i="7"/>
  <c r="F126" i="7" s="1"/>
  <c r="E125" i="7"/>
  <c r="F125" i="7" s="1"/>
  <c r="E124" i="7"/>
  <c r="F124" i="7" s="1"/>
  <c r="D121" i="7"/>
  <c r="C121" i="7"/>
  <c r="E120" i="7"/>
  <c r="F120" i="7" s="1"/>
  <c r="E119" i="7"/>
  <c r="F119" i="7"/>
  <c r="E118" i="7"/>
  <c r="F118" i="7" s="1"/>
  <c r="E117" i="7"/>
  <c r="F117" i="7" s="1"/>
  <c r="E116" i="7"/>
  <c r="F116" i="7" s="1"/>
  <c r="E115" i="7"/>
  <c r="F115" i="7" s="1"/>
  <c r="E114" i="7"/>
  <c r="F114" i="7" s="1"/>
  <c r="E113" i="7"/>
  <c r="F113" i="7" s="1"/>
  <c r="E112" i="7"/>
  <c r="F112" i="7" s="1"/>
  <c r="E111" i="7"/>
  <c r="F111" i="7" s="1"/>
  <c r="E110" i="7"/>
  <c r="F110" i="7"/>
  <c r="E109" i="7"/>
  <c r="F109" i="7" s="1"/>
  <c r="E108" i="7"/>
  <c r="F108" i="7" s="1"/>
  <c r="E107" i="7"/>
  <c r="F107" i="7"/>
  <c r="E106" i="7"/>
  <c r="F106" i="7" s="1"/>
  <c r="E105" i="7"/>
  <c r="F105" i="7" s="1"/>
  <c r="E104" i="7"/>
  <c r="F104" i="7"/>
  <c r="E103" i="7"/>
  <c r="F103" i="7" s="1"/>
  <c r="E93" i="7"/>
  <c r="F93" i="7" s="1"/>
  <c r="D90" i="7"/>
  <c r="C90" i="7"/>
  <c r="E89" i="7"/>
  <c r="F89" i="7"/>
  <c r="E88" i="7"/>
  <c r="F88" i="7"/>
  <c r="E87" i="7"/>
  <c r="F87" i="7" s="1"/>
  <c r="E86" i="7"/>
  <c r="F86" i="7" s="1"/>
  <c r="F85" i="7"/>
  <c r="E85" i="7"/>
  <c r="E84" i="7"/>
  <c r="F84" i="7" s="1"/>
  <c r="E83" i="7"/>
  <c r="F83" i="7"/>
  <c r="E82" i="7"/>
  <c r="F82" i="7" s="1"/>
  <c r="E81" i="7"/>
  <c r="F81" i="7" s="1"/>
  <c r="E80" i="7"/>
  <c r="F80" i="7" s="1"/>
  <c r="E79" i="7"/>
  <c r="F79" i="7"/>
  <c r="E78" i="7"/>
  <c r="F78" i="7" s="1"/>
  <c r="F77" i="7"/>
  <c r="E77" i="7"/>
  <c r="E76" i="7"/>
  <c r="F76" i="7"/>
  <c r="E75" i="7"/>
  <c r="F75" i="7" s="1"/>
  <c r="E74" i="7"/>
  <c r="F74" i="7" s="1"/>
  <c r="E73" i="7"/>
  <c r="F73" i="7"/>
  <c r="E72" i="7"/>
  <c r="F72" i="7" s="1"/>
  <c r="F71" i="7"/>
  <c r="E71" i="7"/>
  <c r="E70" i="7"/>
  <c r="F70" i="7" s="1"/>
  <c r="E69" i="7"/>
  <c r="F69" i="7" s="1"/>
  <c r="E68" i="7"/>
  <c r="F68" i="7" s="1"/>
  <c r="E67" i="7"/>
  <c r="F67" i="7" s="1"/>
  <c r="E66" i="7"/>
  <c r="F66" i="7" s="1"/>
  <c r="E65" i="7"/>
  <c r="F65" i="7" s="1"/>
  <c r="E64" i="7"/>
  <c r="F64" i="7" s="1"/>
  <c r="E63" i="7"/>
  <c r="F63" i="7" s="1"/>
  <c r="E62" i="7"/>
  <c r="F62" i="7" s="1"/>
  <c r="D59" i="7"/>
  <c r="E59" i="7"/>
  <c r="F59" i="7"/>
  <c r="C59" i="7"/>
  <c r="F58" i="7"/>
  <c r="E58" i="7"/>
  <c r="E57" i="7"/>
  <c r="F57" i="7" s="1"/>
  <c r="E56" i="7"/>
  <c r="F56" i="7" s="1"/>
  <c r="E55" i="7"/>
  <c r="F55" i="7" s="1"/>
  <c r="F54" i="7"/>
  <c r="E54" i="7"/>
  <c r="F53" i="7"/>
  <c r="E53" i="7"/>
  <c r="E50" i="7"/>
  <c r="F50" i="7" s="1"/>
  <c r="E47" i="7"/>
  <c r="F47" i="7" s="1"/>
  <c r="F44" i="7"/>
  <c r="E44" i="7"/>
  <c r="D41" i="7"/>
  <c r="D95" i="7" s="1"/>
  <c r="C41" i="7"/>
  <c r="F40" i="7"/>
  <c r="E40" i="7"/>
  <c r="E39" i="7"/>
  <c r="F39" i="7" s="1"/>
  <c r="E38" i="7"/>
  <c r="F38" i="7" s="1"/>
  <c r="D35" i="7"/>
  <c r="C35" i="7"/>
  <c r="F34" i="7"/>
  <c r="E34" i="7"/>
  <c r="E33" i="7"/>
  <c r="F33" i="7" s="1"/>
  <c r="D30" i="7"/>
  <c r="C30" i="7"/>
  <c r="E30" i="7" s="1"/>
  <c r="F29" i="7"/>
  <c r="E29" i="7"/>
  <c r="F28" i="7"/>
  <c r="E28" i="7"/>
  <c r="E27" i="7"/>
  <c r="F27" i="7" s="1"/>
  <c r="D24" i="7"/>
  <c r="E24" i="7" s="1"/>
  <c r="C24" i="7"/>
  <c r="E23" i="7"/>
  <c r="F23" i="7" s="1"/>
  <c r="E22" i="7"/>
  <c r="F22" i="7" s="1"/>
  <c r="E21" i="7"/>
  <c r="F21" i="7" s="1"/>
  <c r="D18" i="7"/>
  <c r="E18" i="7" s="1"/>
  <c r="F18" i="7" s="1"/>
  <c r="C18" i="7"/>
  <c r="F17" i="7"/>
  <c r="E17" i="7"/>
  <c r="E16" i="7"/>
  <c r="F16" i="7" s="1"/>
  <c r="E15" i="7"/>
  <c r="F15" i="7" s="1"/>
  <c r="D179" i="6"/>
  <c r="C179" i="6"/>
  <c r="F178" i="6"/>
  <c r="E178" i="6"/>
  <c r="F177" i="6"/>
  <c r="E177" i="6"/>
  <c r="E176" i="6"/>
  <c r="F176" i="6" s="1"/>
  <c r="E175" i="6"/>
  <c r="F175" i="6" s="1"/>
  <c r="F174" i="6"/>
  <c r="E174" i="6"/>
  <c r="F173" i="6"/>
  <c r="E173" i="6"/>
  <c r="E172" i="6"/>
  <c r="F172" i="6" s="1"/>
  <c r="F171" i="6"/>
  <c r="E171" i="6"/>
  <c r="E170" i="6"/>
  <c r="F170" i="6" s="1"/>
  <c r="E169" i="6"/>
  <c r="F169" i="6" s="1"/>
  <c r="E168" i="6"/>
  <c r="F168" i="6" s="1"/>
  <c r="D166" i="6"/>
  <c r="E166" i="6"/>
  <c r="F166" i="6" s="1"/>
  <c r="C166" i="6"/>
  <c r="F165" i="6"/>
  <c r="E165" i="6"/>
  <c r="F164" i="6"/>
  <c r="E164" i="6"/>
  <c r="E163" i="6"/>
  <c r="F163" i="6" s="1"/>
  <c r="E162" i="6"/>
  <c r="F162" i="6" s="1"/>
  <c r="E161" i="6"/>
  <c r="F161" i="6" s="1"/>
  <c r="E160" i="6"/>
  <c r="F160" i="6" s="1"/>
  <c r="E159" i="6"/>
  <c r="F159" i="6" s="1"/>
  <c r="F158" i="6"/>
  <c r="E158" i="6"/>
  <c r="E157" i="6"/>
  <c r="F157" i="6" s="1"/>
  <c r="E156" i="6"/>
  <c r="F156" i="6" s="1"/>
  <c r="F155" i="6"/>
  <c r="E155" i="6"/>
  <c r="D153" i="6"/>
  <c r="E153" i="6" s="1"/>
  <c r="C153" i="6"/>
  <c r="F152" i="6"/>
  <c r="E152" i="6"/>
  <c r="F151" i="6"/>
  <c r="E151" i="6"/>
  <c r="F150" i="6"/>
  <c r="E150" i="6"/>
  <c r="E149" i="6"/>
  <c r="F149" i="6" s="1"/>
  <c r="E148" i="6"/>
  <c r="F148" i="6" s="1"/>
  <c r="E147" i="6"/>
  <c r="F147" i="6" s="1"/>
  <c r="E146" i="6"/>
  <c r="F146" i="6" s="1"/>
  <c r="F145" i="6"/>
  <c r="E145" i="6"/>
  <c r="E144" i="6"/>
  <c r="F144" i="6" s="1"/>
  <c r="E143" i="6"/>
  <c r="F143" i="6" s="1"/>
  <c r="E142" i="6"/>
  <c r="F142" i="6" s="1"/>
  <c r="D137" i="6"/>
  <c r="E137" i="6" s="1"/>
  <c r="C137" i="6"/>
  <c r="F136" i="6"/>
  <c r="E136" i="6"/>
  <c r="F135" i="6"/>
  <c r="E135" i="6"/>
  <c r="E134" i="6"/>
  <c r="F134" i="6" s="1"/>
  <c r="E133" i="6"/>
  <c r="F133" i="6" s="1"/>
  <c r="E132" i="6"/>
  <c r="F132" i="6" s="1"/>
  <c r="E131" i="6"/>
  <c r="F131" i="6" s="1"/>
  <c r="E130" i="6"/>
  <c r="F130" i="6" s="1"/>
  <c r="F129" i="6"/>
  <c r="E129" i="6"/>
  <c r="F128" i="6"/>
  <c r="E128" i="6"/>
  <c r="E127" i="6"/>
  <c r="F127" i="6" s="1"/>
  <c r="E126" i="6"/>
  <c r="F126" i="6" s="1"/>
  <c r="D124" i="6"/>
  <c r="C124" i="6"/>
  <c r="F123" i="6"/>
  <c r="E123" i="6"/>
  <c r="F122" i="6"/>
  <c r="E122" i="6"/>
  <c r="E121" i="6"/>
  <c r="F121" i="6" s="1"/>
  <c r="E120" i="6"/>
  <c r="F120" i="6" s="1"/>
  <c r="F119" i="6"/>
  <c r="E119" i="6"/>
  <c r="E118" i="6"/>
  <c r="F118" i="6" s="1"/>
  <c r="F117" i="6"/>
  <c r="E117" i="6"/>
  <c r="F116" i="6"/>
  <c r="E116" i="6"/>
  <c r="E115" i="6"/>
  <c r="F115" i="6" s="1"/>
  <c r="E114" i="6"/>
  <c r="F114" i="6" s="1"/>
  <c r="F113" i="6"/>
  <c r="E113" i="6"/>
  <c r="D111" i="6"/>
  <c r="E111" i="6" s="1"/>
  <c r="F111" i="6" s="1"/>
  <c r="C111" i="6"/>
  <c r="F110" i="6"/>
  <c r="E110" i="6"/>
  <c r="F109" i="6"/>
  <c r="E109" i="6"/>
  <c r="E108" i="6"/>
  <c r="F108" i="6" s="1"/>
  <c r="F107" i="6"/>
  <c r="E107" i="6"/>
  <c r="E106" i="6"/>
  <c r="F106" i="6" s="1"/>
  <c r="E105" i="6"/>
  <c r="F105" i="6" s="1"/>
  <c r="F104" i="6"/>
  <c r="E104" i="6"/>
  <c r="F103" i="6"/>
  <c r="E103" i="6"/>
  <c r="F102" i="6"/>
  <c r="E102" i="6"/>
  <c r="E101" i="6"/>
  <c r="F101" i="6" s="1"/>
  <c r="F100" i="6"/>
  <c r="E100" i="6"/>
  <c r="F94" i="6"/>
  <c r="D94" i="6"/>
  <c r="E94" i="6" s="1"/>
  <c r="C94" i="6"/>
  <c r="D93" i="6"/>
  <c r="C93" i="6"/>
  <c r="F93" i="6" s="1"/>
  <c r="D92" i="6"/>
  <c r="E92" i="6"/>
  <c r="C92" i="6"/>
  <c r="D91" i="6"/>
  <c r="C91" i="6"/>
  <c r="D90" i="6"/>
  <c r="C90" i="6"/>
  <c r="D89" i="6"/>
  <c r="C89" i="6"/>
  <c r="D88" i="6"/>
  <c r="E88" i="6" s="1"/>
  <c r="C88" i="6"/>
  <c r="D87" i="6"/>
  <c r="C87" i="6"/>
  <c r="F87" i="6" s="1"/>
  <c r="D86" i="6"/>
  <c r="E86" i="6" s="1"/>
  <c r="C86" i="6"/>
  <c r="D85" i="6"/>
  <c r="E85" i="6" s="1"/>
  <c r="F85" i="6" s="1"/>
  <c r="C85" i="6"/>
  <c r="D84" i="6"/>
  <c r="C84" i="6"/>
  <c r="D81" i="6"/>
  <c r="C81" i="6"/>
  <c r="F80" i="6"/>
  <c r="E80" i="6"/>
  <c r="F79" i="6"/>
  <c r="E79" i="6"/>
  <c r="E78" i="6"/>
  <c r="F78" i="6" s="1"/>
  <c r="E77" i="6"/>
  <c r="F77" i="6" s="1"/>
  <c r="E76" i="6"/>
  <c r="F76" i="6" s="1"/>
  <c r="E75" i="6"/>
  <c r="F75" i="6" s="1"/>
  <c r="F74" i="6"/>
  <c r="E74" i="6"/>
  <c r="F73" i="6"/>
  <c r="E73" i="6"/>
  <c r="E72" i="6"/>
  <c r="F72" i="6" s="1"/>
  <c r="E71" i="6"/>
  <c r="F71" i="6" s="1"/>
  <c r="E70" i="6"/>
  <c r="F70" i="6" s="1"/>
  <c r="D68" i="6"/>
  <c r="C68" i="6"/>
  <c r="E68" i="6" s="1"/>
  <c r="F67" i="6"/>
  <c r="E67" i="6"/>
  <c r="F66" i="6"/>
  <c r="E66" i="6"/>
  <c r="E65" i="6"/>
  <c r="F65" i="6" s="1"/>
  <c r="E64" i="6"/>
  <c r="F64" i="6" s="1"/>
  <c r="E63" i="6"/>
  <c r="F63" i="6" s="1"/>
  <c r="E62" i="6"/>
  <c r="F62" i="6" s="1"/>
  <c r="F61" i="6"/>
  <c r="E61" i="6"/>
  <c r="F60" i="6"/>
  <c r="E60" i="6"/>
  <c r="E59" i="6"/>
  <c r="F59" i="6" s="1"/>
  <c r="E58" i="6"/>
  <c r="F58" i="6" s="1"/>
  <c r="E57" i="6"/>
  <c r="F57" i="6" s="1"/>
  <c r="F51" i="6"/>
  <c r="D51" i="6"/>
  <c r="E51" i="6" s="1"/>
  <c r="C51" i="6"/>
  <c r="D50" i="6"/>
  <c r="C50" i="6"/>
  <c r="F50" i="6" s="1"/>
  <c r="D49" i="6"/>
  <c r="E49" i="6" s="1"/>
  <c r="C49" i="6"/>
  <c r="D48" i="6"/>
  <c r="C48" i="6"/>
  <c r="D47" i="6"/>
  <c r="E47" i="6" s="1"/>
  <c r="F47" i="6" s="1"/>
  <c r="C47" i="6"/>
  <c r="D46" i="6"/>
  <c r="C46" i="6"/>
  <c r="D45" i="6"/>
  <c r="E45" i="6" s="1"/>
  <c r="F45" i="6" s="1"/>
  <c r="C45" i="6"/>
  <c r="D44" i="6"/>
  <c r="E44" i="6" s="1"/>
  <c r="C44" i="6"/>
  <c r="F44" i="6" s="1"/>
  <c r="D43" i="6"/>
  <c r="E43" i="6"/>
  <c r="F43" i="6" s="1"/>
  <c r="C43" i="6"/>
  <c r="D42" i="6"/>
  <c r="E42" i="6" s="1"/>
  <c r="F42" i="6" s="1"/>
  <c r="C42" i="6"/>
  <c r="D41" i="6"/>
  <c r="E41" i="6" s="1"/>
  <c r="F41" i="6" s="1"/>
  <c r="C41" i="6"/>
  <c r="D38" i="6"/>
  <c r="C38" i="6"/>
  <c r="F37" i="6"/>
  <c r="E37" i="6"/>
  <c r="F36" i="6"/>
  <c r="E36" i="6"/>
  <c r="F35" i="6"/>
  <c r="E35" i="6"/>
  <c r="E34" i="6"/>
  <c r="F34" i="6" s="1"/>
  <c r="F33" i="6"/>
  <c r="E33" i="6"/>
  <c r="E32" i="6"/>
  <c r="F32" i="6" s="1"/>
  <c r="E31" i="6"/>
  <c r="F31" i="6" s="1"/>
  <c r="F30" i="6"/>
  <c r="E30" i="6"/>
  <c r="E29" i="6"/>
  <c r="F29" i="6" s="1"/>
  <c r="E28" i="6"/>
  <c r="F28" i="6" s="1"/>
  <c r="E27" i="6"/>
  <c r="F27" i="6" s="1"/>
  <c r="D25" i="6"/>
  <c r="E25" i="6" s="1"/>
  <c r="F25" i="6" s="1"/>
  <c r="C25" i="6"/>
  <c r="F24" i="6"/>
  <c r="E24" i="6"/>
  <c r="F23" i="6"/>
  <c r="E23" i="6"/>
  <c r="E22" i="6"/>
  <c r="F22" i="6" s="1"/>
  <c r="F21" i="6"/>
  <c r="E21" i="6"/>
  <c r="E20" i="6"/>
  <c r="F20" i="6" s="1"/>
  <c r="E19" i="6"/>
  <c r="F19" i="6" s="1"/>
  <c r="E18" i="6"/>
  <c r="F18" i="6" s="1"/>
  <c r="F17" i="6"/>
  <c r="E17" i="6"/>
  <c r="E16" i="6"/>
  <c r="F16" i="6" s="1"/>
  <c r="E15" i="6"/>
  <c r="F15" i="6" s="1"/>
  <c r="E14" i="6"/>
  <c r="F14" i="6" s="1"/>
  <c r="E51" i="5"/>
  <c r="F51" i="5" s="1"/>
  <c r="D48" i="5"/>
  <c r="C48" i="5"/>
  <c r="E47" i="5"/>
  <c r="F47" i="5" s="1"/>
  <c r="F46" i="5"/>
  <c r="E46" i="5"/>
  <c r="D41" i="5"/>
  <c r="C41" i="5"/>
  <c r="F40" i="5"/>
  <c r="E40" i="5"/>
  <c r="F39" i="5"/>
  <c r="E39" i="5"/>
  <c r="E38" i="5"/>
  <c r="F38" i="5" s="1"/>
  <c r="D33" i="5"/>
  <c r="C33" i="5"/>
  <c r="E32" i="5"/>
  <c r="F32" i="5" s="1"/>
  <c r="E31" i="5"/>
  <c r="F31" i="5" s="1"/>
  <c r="E30" i="5"/>
  <c r="F30" i="5" s="1"/>
  <c r="F29" i="5"/>
  <c r="E29" i="5"/>
  <c r="E28" i="5"/>
  <c r="F28" i="5" s="1"/>
  <c r="E27" i="5"/>
  <c r="F27" i="5" s="1"/>
  <c r="E26" i="5"/>
  <c r="F26" i="5" s="1"/>
  <c r="E25" i="5"/>
  <c r="F25" i="5" s="1"/>
  <c r="E24" i="5"/>
  <c r="F24" i="5" s="1"/>
  <c r="F20" i="5"/>
  <c r="E20" i="5"/>
  <c r="E19" i="5"/>
  <c r="F19" i="5" s="1"/>
  <c r="E17" i="5"/>
  <c r="F17" i="5" s="1"/>
  <c r="D16" i="5"/>
  <c r="C16" i="5"/>
  <c r="C18" i="5" s="1"/>
  <c r="C21" i="5" s="1"/>
  <c r="C35" i="5" s="1"/>
  <c r="F15" i="5"/>
  <c r="E15" i="5"/>
  <c r="E14" i="5"/>
  <c r="F14" i="5" s="1"/>
  <c r="E13" i="5"/>
  <c r="F13" i="5" s="1"/>
  <c r="E12" i="5"/>
  <c r="F12" i="5" s="1"/>
  <c r="D73" i="4"/>
  <c r="C73" i="4"/>
  <c r="E72" i="4"/>
  <c r="F72" i="4" s="1"/>
  <c r="E71" i="4"/>
  <c r="F71" i="4" s="1"/>
  <c r="E70" i="4"/>
  <c r="F70" i="4" s="1"/>
  <c r="F67" i="4"/>
  <c r="E67" i="4"/>
  <c r="E64" i="4"/>
  <c r="F64" i="4" s="1"/>
  <c r="E63" i="4"/>
  <c r="F63" i="4" s="1"/>
  <c r="D61" i="4"/>
  <c r="C61" i="4"/>
  <c r="F60" i="4"/>
  <c r="E60" i="4"/>
  <c r="E59" i="4"/>
  <c r="F59" i="4" s="1"/>
  <c r="D56" i="4"/>
  <c r="E56" i="4" s="1"/>
  <c r="F56" i="4" s="1"/>
  <c r="C56" i="4"/>
  <c r="E55" i="4"/>
  <c r="F55" i="4" s="1"/>
  <c r="F54" i="4"/>
  <c r="E54" i="4"/>
  <c r="E53" i="4"/>
  <c r="F53" i="4" s="1"/>
  <c r="E52" i="4"/>
  <c r="F52" i="4" s="1"/>
  <c r="E51" i="4"/>
  <c r="F51" i="4" s="1"/>
  <c r="E50" i="4"/>
  <c r="F50" i="4" s="1"/>
  <c r="A50" i="4"/>
  <c r="A51" i="4" s="1"/>
  <c r="A52" i="4" s="1"/>
  <c r="A53" i="4" s="1"/>
  <c r="A54" i="4" s="1"/>
  <c r="A55" i="4" s="1"/>
  <c r="E49" i="4"/>
  <c r="F49" i="4" s="1"/>
  <c r="E40" i="4"/>
  <c r="F40" i="4" s="1"/>
  <c r="D38" i="4"/>
  <c r="C38" i="4"/>
  <c r="C41" i="4" s="1"/>
  <c r="E37" i="4"/>
  <c r="F37" i="4" s="1"/>
  <c r="E36" i="4"/>
  <c r="F36" i="4" s="1"/>
  <c r="E33" i="4"/>
  <c r="F33" i="4" s="1"/>
  <c r="E32" i="4"/>
  <c r="F32" i="4" s="1"/>
  <c r="F31" i="4"/>
  <c r="E31" i="4"/>
  <c r="D29" i="4"/>
  <c r="C29" i="4"/>
  <c r="E28" i="4"/>
  <c r="F28" i="4" s="1"/>
  <c r="F27" i="4"/>
  <c r="E27" i="4"/>
  <c r="F26" i="4"/>
  <c r="E26" i="4"/>
  <c r="E25" i="4"/>
  <c r="F25" i="4" s="1"/>
  <c r="D22" i="4"/>
  <c r="C22" i="4"/>
  <c r="E22" i="4" s="1"/>
  <c r="F22" i="4" s="1"/>
  <c r="F21" i="4"/>
  <c r="E21" i="4"/>
  <c r="E20" i="4"/>
  <c r="F20" i="4" s="1"/>
  <c r="E19" i="4"/>
  <c r="F19" i="4" s="1"/>
  <c r="F18" i="4"/>
  <c r="E18" i="4"/>
  <c r="F17" i="4"/>
  <c r="E17" i="4"/>
  <c r="E16" i="4"/>
  <c r="F16" i="4" s="1"/>
  <c r="E15" i="4"/>
  <c r="F15" i="4" s="1"/>
  <c r="E14" i="4"/>
  <c r="F14" i="4" s="1"/>
  <c r="E13" i="4"/>
  <c r="F13" i="4" s="1"/>
  <c r="C23" i="22"/>
  <c r="E23" i="22"/>
  <c r="E30" i="22" s="1"/>
  <c r="E113" i="22" s="1"/>
  <c r="C34" i="22"/>
  <c r="C22" i="22"/>
  <c r="E39" i="20"/>
  <c r="F39" i="20" s="1"/>
  <c r="D33" i="18"/>
  <c r="E32" i="18"/>
  <c r="C43" i="18"/>
  <c r="D71" i="18"/>
  <c r="D65" i="18"/>
  <c r="D294" i="18" s="1"/>
  <c r="E60" i="18"/>
  <c r="E69" i="18"/>
  <c r="D234" i="18"/>
  <c r="C156" i="18"/>
  <c r="C157" i="18" s="1"/>
  <c r="E205" i="18"/>
  <c r="C229" i="18"/>
  <c r="E229" i="18"/>
  <c r="C252" i="18"/>
  <c r="D245" i="18"/>
  <c r="E245" i="18" s="1"/>
  <c r="E251" i="18"/>
  <c r="E265" i="18"/>
  <c r="C261" i="18"/>
  <c r="E261" i="18" s="1"/>
  <c r="C189" i="18"/>
  <c r="E188" i="18"/>
  <c r="D260" i="18"/>
  <c r="E260" i="18" s="1"/>
  <c r="E195" i="18"/>
  <c r="D211" i="18"/>
  <c r="E211" i="18" s="1"/>
  <c r="D239" i="18"/>
  <c r="E239" i="18" s="1"/>
  <c r="C21" i="17"/>
  <c r="E58" i="17"/>
  <c r="F58" i="17"/>
  <c r="C68" i="17"/>
  <c r="C207" i="17"/>
  <c r="E53" i="17"/>
  <c r="F53" i="17" s="1"/>
  <c r="E59" i="17"/>
  <c r="D89" i="17"/>
  <c r="D90" i="17" s="1"/>
  <c r="D138" i="17"/>
  <c r="D139" i="17" s="1"/>
  <c r="E137" i="17"/>
  <c r="F137" i="17"/>
  <c r="F172" i="17"/>
  <c r="E136" i="17"/>
  <c r="F136" i="17"/>
  <c r="E171" i="17"/>
  <c r="C254" i="17"/>
  <c r="C278" i="17"/>
  <c r="C280" i="17"/>
  <c r="C264" i="17"/>
  <c r="C290" i="17"/>
  <c r="C274" i="17"/>
  <c r="C199" i="17"/>
  <c r="C200" i="17"/>
  <c r="E230" i="17"/>
  <c r="D206" i="17"/>
  <c r="D278" i="17"/>
  <c r="D262" i="17"/>
  <c r="D215" i="17"/>
  <c r="C267" i="17"/>
  <c r="E229" i="17"/>
  <c r="C239" i="17"/>
  <c r="D267" i="17"/>
  <c r="D269" i="17"/>
  <c r="E250" i="17"/>
  <c r="F250" i="17"/>
  <c r="C33" i="14"/>
  <c r="C36" i="14" s="1"/>
  <c r="C38" i="14" s="1"/>
  <c r="C40" i="14" s="1"/>
  <c r="E33" i="14"/>
  <c r="E36" i="14" s="1"/>
  <c r="E38" i="14" s="1"/>
  <c r="E40" i="14" s="1"/>
  <c r="G33" i="14"/>
  <c r="H17" i="14"/>
  <c r="D48" i="13"/>
  <c r="D42" i="13" s="1"/>
  <c r="E22" i="11"/>
  <c r="F22" i="11"/>
  <c r="E113" i="10"/>
  <c r="F205" i="9"/>
  <c r="E198" i="9"/>
  <c r="E199" i="9"/>
  <c r="F199" i="9" s="1"/>
  <c r="C208" i="9"/>
  <c r="C140" i="8"/>
  <c r="D136" i="8"/>
  <c r="D15" i="8"/>
  <c r="D24" i="8" s="1"/>
  <c r="C17" i="8"/>
  <c r="C112" i="8" s="1"/>
  <c r="C111" i="8" s="1"/>
  <c r="E17" i="8"/>
  <c r="E112" i="8" s="1"/>
  <c r="E111" i="8" s="1"/>
  <c r="C43" i="8"/>
  <c r="E43" i="8"/>
  <c r="E49" i="8"/>
  <c r="E183" i="7"/>
  <c r="F90" i="7"/>
  <c r="E90" i="7"/>
  <c r="C95" i="7"/>
  <c r="E130" i="7"/>
  <c r="F130" i="7"/>
  <c r="E167" i="7"/>
  <c r="F167" i="7" s="1"/>
  <c r="E84" i="6"/>
  <c r="F84" i="6"/>
  <c r="D18" i="5"/>
  <c r="D41" i="4"/>
  <c r="E41" i="4" s="1"/>
  <c r="C40" i="22"/>
  <c r="C36" i="22"/>
  <c r="C30" i="22"/>
  <c r="C53" i="22"/>
  <c r="C45" i="22"/>
  <c r="C39" i="22"/>
  <c r="C35" i="22"/>
  <c r="C29" i="22"/>
  <c r="E54" i="22"/>
  <c r="E40" i="22"/>
  <c r="E36" i="22"/>
  <c r="D303" i="18"/>
  <c r="E65" i="18"/>
  <c r="D66" i="18"/>
  <c r="C101" i="18"/>
  <c r="C99" i="18"/>
  <c r="C208" i="17"/>
  <c r="D103" i="17"/>
  <c r="D104" i="17" s="1"/>
  <c r="D17" i="8"/>
  <c r="D28" i="8" s="1"/>
  <c r="D99" i="8" s="1"/>
  <c r="D101" i="8" s="1"/>
  <c r="D98" i="8" s="1"/>
  <c r="C55" i="22"/>
  <c r="C47" i="22"/>
  <c r="C37" i="22"/>
  <c r="C42" i="12"/>
  <c r="D105" i="17" l="1"/>
  <c r="D62" i="17"/>
  <c r="D140" i="17"/>
  <c r="E33" i="18"/>
  <c r="D295" i="18"/>
  <c r="E47" i="10"/>
  <c r="F65" i="11"/>
  <c r="D277" i="17"/>
  <c r="D261" i="17"/>
  <c r="D214" i="17"/>
  <c r="D254" i="17" s="1"/>
  <c r="E188" i="17"/>
  <c r="D190" i="17"/>
  <c r="E190" i="17" s="1"/>
  <c r="D283" i="17"/>
  <c r="D205" i="17"/>
  <c r="C56" i="22"/>
  <c r="C48" i="22"/>
  <c r="C38" i="22"/>
  <c r="E254" i="17"/>
  <c r="F254" i="17" s="1"/>
  <c r="E123" i="17"/>
  <c r="F123" i="17" s="1"/>
  <c r="F33" i="5"/>
  <c r="C57" i="8"/>
  <c r="C62" i="8" s="1"/>
  <c r="C53" i="8"/>
  <c r="C49" i="8"/>
  <c r="E65" i="11"/>
  <c r="C15" i="13"/>
  <c r="C25" i="13"/>
  <c r="C27" i="13" s="1"/>
  <c r="C255" i="17"/>
  <c r="C262" i="17"/>
  <c r="C285" i="17"/>
  <c r="C269" i="17"/>
  <c r="C270" i="17" s="1"/>
  <c r="E204" i="17"/>
  <c r="F204" i="17" s="1"/>
  <c r="E223" i="17"/>
  <c r="E262" i="18"/>
  <c r="E277" i="18"/>
  <c r="E34" i="22"/>
  <c r="E22" i="22"/>
  <c r="E28" i="8"/>
  <c r="E99" i="8" s="1"/>
  <c r="E101" i="8" s="1"/>
  <c r="E98" i="8" s="1"/>
  <c r="E46" i="22"/>
  <c r="F183" i="7"/>
  <c r="I33" i="14"/>
  <c r="I36" i="14" s="1"/>
  <c r="I38" i="14" s="1"/>
  <c r="I40" i="14" s="1"/>
  <c r="G36" i="14"/>
  <c r="G38" i="14" s="1"/>
  <c r="G40" i="14" s="1"/>
  <c r="E89" i="17"/>
  <c r="F89" i="17" s="1"/>
  <c r="E50" i="6"/>
  <c r="F137" i="6"/>
  <c r="E121" i="7"/>
  <c r="F121" i="7" s="1"/>
  <c r="C135" i="8"/>
  <c r="C141" i="8" s="1"/>
  <c r="C137" i="8"/>
  <c r="E192" i="9"/>
  <c r="C146" i="17"/>
  <c r="E189" i="17"/>
  <c r="F189" i="17" s="1"/>
  <c r="E139" i="18"/>
  <c r="D144" i="18"/>
  <c r="D163" i="18"/>
  <c r="D175" i="18"/>
  <c r="E281" i="18"/>
  <c r="E290" i="18"/>
  <c r="E43" i="20"/>
  <c r="F68" i="17"/>
  <c r="E71" i="10"/>
  <c r="F71" i="10"/>
  <c r="C288" i="17"/>
  <c r="D52" i="6"/>
  <c r="E50" i="9"/>
  <c r="F50" i="9" s="1"/>
  <c r="D76" i="18"/>
  <c r="D77" i="18" s="1"/>
  <c r="D111" i="18" s="1"/>
  <c r="C49" i="12"/>
  <c r="D139" i="8"/>
  <c r="D272" i="17"/>
  <c r="C46" i="22"/>
  <c r="C54" i="22"/>
  <c r="E48" i="5"/>
  <c r="E38" i="6"/>
  <c r="F38" i="6" s="1"/>
  <c r="F86" i="6"/>
  <c r="E89" i="6"/>
  <c r="F89" i="6" s="1"/>
  <c r="E65" i="15"/>
  <c r="F65" i="15"/>
  <c r="C103" i="17"/>
  <c r="E103" i="17" s="1"/>
  <c r="F103" i="17" s="1"/>
  <c r="C234" i="18"/>
  <c r="C55" i="18"/>
  <c r="E66" i="17"/>
  <c r="F66" i="17" s="1"/>
  <c r="F204" i="9"/>
  <c r="C75" i="11"/>
  <c r="C28" i="8"/>
  <c r="C99" i="8" s="1"/>
  <c r="C101" i="8" s="1"/>
  <c r="C98" i="8" s="1"/>
  <c r="C88" i="8"/>
  <c r="C90" i="8" s="1"/>
  <c r="C86" i="8" s="1"/>
  <c r="C77" i="8"/>
  <c r="F36" i="14"/>
  <c r="F38" i="14" s="1"/>
  <c r="F40" i="14" s="1"/>
  <c r="H33" i="14"/>
  <c r="H36" i="14" s="1"/>
  <c r="H38" i="14" s="1"/>
  <c r="H40" i="14" s="1"/>
  <c r="D288" i="17"/>
  <c r="E288" i="17" s="1"/>
  <c r="F288" i="17" s="1"/>
  <c r="E278" i="17"/>
  <c r="F278" i="17" s="1"/>
  <c r="C303" i="18"/>
  <c r="C306" i="18" s="1"/>
  <c r="C310" i="18" s="1"/>
  <c r="D43" i="18"/>
  <c r="F48" i="5"/>
  <c r="C157" i="8"/>
  <c r="C155" i="8"/>
  <c r="C152" i="8"/>
  <c r="E157" i="8"/>
  <c r="E155" i="8"/>
  <c r="E31" i="17"/>
  <c r="F31" i="17"/>
  <c r="C32" i="17"/>
  <c r="D125" i="17"/>
  <c r="E102" i="17"/>
  <c r="F102" i="17" s="1"/>
  <c r="E36" i="18"/>
  <c r="D55" i="18"/>
  <c r="D235" i="18" s="1"/>
  <c r="D283" i="18"/>
  <c r="E283" i="18" s="1"/>
  <c r="E54" i="18"/>
  <c r="E314" i="18"/>
  <c r="D316" i="18"/>
  <c r="D320" i="18" s="1"/>
  <c r="E88" i="9"/>
  <c r="E35" i="10"/>
  <c r="E95" i="7"/>
  <c r="E149" i="8"/>
  <c r="E135" i="8" s="1"/>
  <c r="F114" i="9"/>
  <c r="F201" i="9"/>
  <c r="E52" i="17"/>
  <c r="F52" i="17" s="1"/>
  <c r="E120" i="17"/>
  <c r="D77" i="8"/>
  <c r="D71" i="8" s="1"/>
  <c r="E226" i="17"/>
  <c r="F226" i="17" s="1"/>
  <c r="E87" i="6"/>
  <c r="F23" i="9"/>
  <c r="E89" i="9"/>
  <c r="F89" i="9"/>
  <c r="E114" i="9"/>
  <c r="E140" i="9"/>
  <c r="F198" i="9"/>
  <c r="E204" i="9"/>
  <c r="E119" i="10"/>
  <c r="D33" i="14"/>
  <c r="D36" i="14" s="1"/>
  <c r="D38" i="14" s="1"/>
  <c r="D40" i="14" s="1"/>
  <c r="E37" i="15"/>
  <c r="E111" i="17"/>
  <c r="F111" i="17" s="1"/>
  <c r="E138" i="17"/>
  <c r="F138" i="17" s="1"/>
  <c r="E174" i="18"/>
  <c r="E59" i="10"/>
  <c r="D25" i="13"/>
  <c r="D27" i="13" s="1"/>
  <c r="D15" i="13"/>
  <c r="E189" i="18"/>
  <c r="E19" i="21"/>
  <c r="F19" i="21" s="1"/>
  <c r="E27" i="13"/>
  <c r="E21" i="13" s="1"/>
  <c r="E178" i="18"/>
  <c r="E53" i="8"/>
  <c r="F88" i="6"/>
  <c r="F140" i="9"/>
  <c r="F112" i="10"/>
  <c r="C80" i="13"/>
  <c r="C77" i="13" s="1"/>
  <c r="E100" i="17"/>
  <c r="F100" i="17" s="1"/>
  <c r="C111" i="17"/>
  <c r="C190" i="17"/>
  <c r="D290" i="17"/>
  <c r="E290" i="17" s="1"/>
  <c r="F290" i="17" s="1"/>
  <c r="D274" i="17"/>
  <c r="E306" i="17"/>
  <c r="C283" i="18"/>
  <c r="C22" i="18"/>
  <c r="C284" i="18" s="1"/>
  <c r="E56" i="11"/>
  <c r="F56" i="11" s="1"/>
  <c r="D75" i="11"/>
  <c r="E238" i="17"/>
  <c r="F238" i="17" s="1"/>
  <c r="E75" i="9"/>
  <c r="E23" i="10"/>
  <c r="F23" i="10"/>
  <c r="E129" i="17"/>
  <c r="F129" i="17" s="1"/>
  <c r="D240" i="18"/>
  <c r="E240" i="18" s="1"/>
  <c r="D222" i="18"/>
  <c r="E216" i="18"/>
  <c r="D112" i="8"/>
  <c r="D111" i="8" s="1"/>
  <c r="D27" i="8"/>
  <c r="D21" i="8" s="1"/>
  <c r="E49" i="9"/>
  <c r="F49" i="9" s="1"/>
  <c r="C122" i="10"/>
  <c r="F122" i="10" s="1"/>
  <c r="D80" i="13"/>
  <c r="D77" i="13" s="1"/>
  <c r="F23" i="15"/>
  <c r="E107" i="15"/>
  <c r="F107" i="15" s="1"/>
  <c r="E110" i="17"/>
  <c r="F110" i="17" s="1"/>
  <c r="E176" i="18"/>
  <c r="C235" i="18"/>
  <c r="D43" i="4"/>
  <c r="F29" i="4"/>
  <c r="E16" i="5"/>
  <c r="E33" i="5"/>
  <c r="E63" i="9"/>
  <c r="E47" i="12"/>
  <c r="D61" i="13"/>
  <c r="D57" i="13" s="1"/>
  <c r="D50" i="13"/>
  <c r="E21" i="16"/>
  <c r="F21" i="16" s="1"/>
  <c r="E67" i="17"/>
  <c r="F67" i="17" s="1"/>
  <c r="E180" i="17"/>
  <c r="E40" i="18"/>
  <c r="E167" i="18"/>
  <c r="E282" i="18"/>
  <c r="E21" i="21"/>
  <c r="F21" i="21" s="1"/>
  <c r="D77" i="22"/>
  <c r="C98" i="22"/>
  <c r="E29" i="4"/>
  <c r="F68" i="6"/>
  <c r="E90" i="6"/>
  <c r="E79" i="8"/>
  <c r="D208" i="9"/>
  <c r="E208" i="9" s="1"/>
  <c r="F208" i="9" s="1"/>
  <c r="E61" i="13"/>
  <c r="E57" i="13" s="1"/>
  <c r="E55" i="15"/>
  <c r="D166" i="8"/>
  <c r="D153" i="8" s="1"/>
  <c r="E36" i="9"/>
  <c r="E102" i="9"/>
  <c r="C207" i="9"/>
  <c r="E48" i="13"/>
  <c r="E42" i="13" s="1"/>
  <c r="E215" i="18"/>
  <c r="E221" i="18"/>
  <c r="E276" i="18"/>
  <c r="E45" i="20"/>
  <c r="F45" i="20" s="1"/>
  <c r="F200" i="17"/>
  <c r="C43" i="5"/>
  <c r="E135" i="17"/>
  <c r="F135" i="17"/>
  <c r="D23" i="22"/>
  <c r="D33" i="22"/>
  <c r="D34" i="22"/>
  <c r="D22" i="22"/>
  <c r="D216" i="17"/>
  <c r="E215" i="17"/>
  <c r="D255" i="17"/>
  <c r="E255" i="17" s="1"/>
  <c r="F255" i="17" s="1"/>
  <c r="C300" i="17"/>
  <c r="C65" i="4"/>
  <c r="C75" i="4" s="1"/>
  <c r="E41" i="5"/>
  <c r="F41" i="5" s="1"/>
  <c r="E24" i="13"/>
  <c r="E17" i="13"/>
  <c r="E28" i="13" s="1"/>
  <c r="E101" i="22"/>
  <c r="E102" i="22"/>
  <c r="D65" i="4"/>
  <c r="E61" i="4"/>
  <c r="F61" i="4" s="1"/>
  <c r="F76" i="9"/>
  <c r="E76" i="9"/>
  <c r="D121" i="10"/>
  <c r="E121" i="10" s="1"/>
  <c r="E112" i="10"/>
  <c r="D122" i="10"/>
  <c r="E122" i="10" s="1"/>
  <c r="E115" i="10"/>
  <c r="E38" i="11"/>
  <c r="F38" i="11" s="1"/>
  <c r="C21" i="13"/>
  <c r="E298" i="17"/>
  <c r="F298" i="17"/>
  <c r="E233" i="18"/>
  <c r="E111" i="22"/>
  <c r="E109" i="22"/>
  <c r="E108" i="22"/>
  <c r="D125" i="18"/>
  <c r="D110" i="18"/>
  <c r="D270" i="17"/>
  <c r="D271" i="17"/>
  <c r="D268" i="17"/>
  <c r="E267" i="17"/>
  <c r="F267" i="17" s="1"/>
  <c r="F41" i="4"/>
  <c r="C43" i="4"/>
  <c r="E43" i="4" s="1"/>
  <c r="E73" i="4"/>
  <c r="F73" i="4" s="1"/>
  <c r="E124" i="6"/>
  <c r="F124" i="6" s="1"/>
  <c r="E156" i="8"/>
  <c r="E154" i="8"/>
  <c r="E152" i="8"/>
  <c r="E153" i="8"/>
  <c r="E95" i="10"/>
  <c r="D43" i="11"/>
  <c r="E41" i="11"/>
  <c r="E234" i="18"/>
  <c r="E56" i="22"/>
  <c r="E48" i="22"/>
  <c r="C88" i="18"/>
  <c r="C89" i="18"/>
  <c r="C84" i="18"/>
  <c r="C258" i="18"/>
  <c r="C87" i="18"/>
  <c r="C96" i="18"/>
  <c r="C85" i="18"/>
  <c r="C97" i="18"/>
  <c r="F179" i="6"/>
  <c r="C95" i="18"/>
  <c r="E188" i="7"/>
  <c r="F188" i="7" s="1"/>
  <c r="E20" i="17"/>
  <c r="F20" i="17" s="1"/>
  <c r="D21" i="17"/>
  <c r="F95" i="7"/>
  <c r="E239" i="17"/>
  <c r="F239" i="17" s="1"/>
  <c r="C98" i="18"/>
  <c r="E274" i="17"/>
  <c r="F274" i="17" s="1"/>
  <c r="E179" i="9"/>
  <c r="E206" i="9"/>
  <c r="F206" i="9"/>
  <c r="F72" i="10"/>
  <c r="E72" i="10"/>
  <c r="E326" i="18"/>
  <c r="D330" i="18"/>
  <c r="E330" i="18" s="1"/>
  <c r="E23" i="17"/>
  <c r="F23" i="17" s="1"/>
  <c r="E295" i="18"/>
  <c r="C101" i="22"/>
  <c r="C103" i="22" s="1"/>
  <c r="C77" i="22"/>
  <c r="E38" i="22"/>
  <c r="F41" i="11"/>
  <c r="G31" i="14"/>
  <c r="I31" i="14" s="1"/>
  <c r="I17" i="14"/>
  <c r="E303" i="18"/>
  <c r="D306" i="18"/>
  <c r="D63" i="17"/>
  <c r="C83" i="18"/>
  <c r="C48" i="17"/>
  <c r="C49" i="17" s="1"/>
  <c r="E47" i="17"/>
  <c r="F47" i="17" s="1"/>
  <c r="C100" i="18"/>
  <c r="F43" i="20"/>
  <c r="E18" i="5"/>
  <c r="F18" i="5" s="1"/>
  <c r="D21" i="5"/>
  <c r="E32" i="17"/>
  <c r="F32" i="17"/>
  <c r="C175" i="17"/>
  <c r="E55" i="18"/>
  <c r="E46" i="6"/>
  <c r="F46" i="6" s="1"/>
  <c r="E140" i="8"/>
  <c r="D137" i="8"/>
  <c r="D135" i="8"/>
  <c r="D140" i="8"/>
  <c r="E262" i="17"/>
  <c r="F262" i="17" s="1"/>
  <c r="D263" i="17"/>
  <c r="C91" i="17"/>
  <c r="F96" i="10"/>
  <c r="E96" i="10"/>
  <c r="D146" i="17"/>
  <c r="E146" i="17" s="1"/>
  <c r="F146" i="17" s="1"/>
  <c r="E144" i="17"/>
  <c r="F144" i="17" s="1"/>
  <c r="D159" i="17"/>
  <c r="D160" i="17" s="1"/>
  <c r="D192" i="17"/>
  <c r="E158" i="17"/>
  <c r="D173" i="17"/>
  <c r="D207" i="17"/>
  <c r="E172" i="17"/>
  <c r="C205" i="17"/>
  <c r="E203" i="17"/>
  <c r="F203" i="17" s="1"/>
  <c r="C64" i="19"/>
  <c r="C65" i="19" s="1"/>
  <c r="C114" i="19" s="1"/>
  <c r="C116" i="19" s="1"/>
  <c r="C119" i="19" s="1"/>
  <c r="C123" i="19" s="1"/>
  <c r="C49" i="19"/>
  <c r="E40" i="20"/>
  <c r="E41" i="20" s="1"/>
  <c r="F41" i="20" s="1"/>
  <c r="C153" i="8"/>
  <c r="C156" i="8"/>
  <c r="C154" i="8"/>
  <c r="F62" i="9"/>
  <c r="E62" i="9"/>
  <c r="F92" i="15"/>
  <c r="F100" i="15"/>
  <c r="E101" i="17"/>
  <c r="F101" i="17" s="1"/>
  <c r="C181" i="17"/>
  <c r="F179" i="17"/>
  <c r="E179" i="17"/>
  <c r="C320" i="18"/>
  <c r="E320" i="18" s="1"/>
  <c r="E316" i="18"/>
  <c r="E324" i="18"/>
  <c r="E35" i="7"/>
  <c r="F35" i="7"/>
  <c r="D53" i="8"/>
  <c r="D43" i="8"/>
  <c r="D49" i="8"/>
  <c r="C138" i="8"/>
  <c r="C136" i="8"/>
  <c r="C139" i="8"/>
  <c r="E15" i="12"/>
  <c r="F15" i="12" s="1"/>
  <c r="D17" i="12"/>
  <c r="F47" i="12"/>
  <c r="C59" i="13"/>
  <c r="C61" i="13" s="1"/>
  <c r="C57" i="13" s="1"/>
  <c r="C48" i="13"/>
  <c r="C42" i="13" s="1"/>
  <c r="F16" i="15"/>
  <c r="E17" i="16"/>
  <c r="F17" i="16" s="1"/>
  <c r="C193" i="17"/>
  <c r="C124" i="17"/>
  <c r="E124" i="17" s="1"/>
  <c r="C192" i="17"/>
  <c r="E48" i="6"/>
  <c r="F48" i="6" s="1"/>
  <c r="D95" i="6"/>
  <c r="F90" i="6"/>
  <c r="F24" i="7"/>
  <c r="D90" i="8"/>
  <c r="D86" i="8" s="1"/>
  <c r="E191" i="17"/>
  <c r="D280" i="17"/>
  <c r="D264" i="17"/>
  <c r="D200" i="17"/>
  <c r="E200" i="17" s="1"/>
  <c r="E294" i="17"/>
  <c r="F294" i="17" s="1"/>
  <c r="D22" i="18"/>
  <c r="E21" i="18"/>
  <c r="C66" i="18"/>
  <c r="E66" i="18" s="1"/>
  <c r="C294" i="18"/>
  <c r="E294" i="18" s="1"/>
  <c r="E280" i="18"/>
  <c r="E19" i="20"/>
  <c r="F19" i="20"/>
  <c r="E38" i="4"/>
  <c r="F38" i="4" s="1"/>
  <c r="C95" i="6"/>
  <c r="E93" i="6"/>
  <c r="F30" i="7"/>
  <c r="E27" i="8"/>
  <c r="E77" i="8"/>
  <c r="E71" i="8" s="1"/>
  <c r="E88" i="8"/>
  <c r="E90" i="8" s="1"/>
  <c r="E86" i="8" s="1"/>
  <c r="E128" i="9"/>
  <c r="F128" i="9" s="1"/>
  <c r="C37" i="17"/>
  <c r="E37" i="17" s="1"/>
  <c r="E36" i="17"/>
  <c r="F36" i="17" s="1"/>
  <c r="C60" i="17"/>
  <c r="F59" i="17"/>
  <c r="F230" i="17"/>
  <c r="F295" i="17"/>
  <c r="F16" i="5"/>
  <c r="C52" i="6"/>
  <c r="E52" i="6" s="1"/>
  <c r="E179" i="6"/>
  <c r="C71" i="8"/>
  <c r="C282" i="17"/>
  <c r="D174" i="17"/>
  <c r="F158" i="17"/>
  <c r="C159" i="17"/>
  <c r="F188" i="17"/>
  <c r="C277" i="17"/>
  <c r="C206" i="17"/>
  <c r="C261" i="17"/>
  <c r="C214" i="17"/>
  <c r="E198" i="17"/>
  <c r="F198" i="17" s="1"/>
  <c r="D199" i="17"/>
  <c r="E199" i="17" s="1"/>
  <c r="F199" i="17" s="1"/>
  <c r="C295" i="18"/>
  <c r="E210" i="18"/>
  <c r="C242" i="18"/>
  <c r="C217" i="18"/>
  <c r="C241" i="18" s="1"/>
  <c r="E218" i="18"/>
  <c r="C222" i="18"/>
  <c r="C253" i="18"/>
  <c r="C254" i="18" s="1"/>
  <c r="E293" i="18"/>
  <c r="F49" i="6"/>
  <c r="E81" i="6"/>
  <c r="F81" i="6" s="1"/>
  <c r="F102" i="9"/>
  <c r="E153" i="9"/>
  <c r="F167" i="9"/>
  <c r="E167" i="9"/>
  <c r="F32" i="12"/>
  <c r="E94" i="17"/>
  <c r="F94" i="17" s="1"/>
  <c r="E164" i="17"/>
  <c r="C77" i="18"/>
  <c r="E77" i="18" s="1"/>
  <c r="D243" i="18"/>
  <c r="E20" i="20"/>
  <c r="F20" i="20" s="1"/>
  <c r="E91" i="6"/>
  <c r="F91" i="6" s="1"/>
  <c r="C25" i="8"/>
  <c r="C27" i="8" s="1"/>
  <c r="E40" i="12"/>
  <c r="F40" i="12" s="1"/>
  <c r="E170" i="17"/>
  <c r="F170" i="17"/>
  <c r="F297" i="17"/>
  <c r="C33" i="19"/>
  <c r="C37" i="19"/>
  <c r="C38" i="19" s="1"/>
  <c r="C127" i="19" s="1"/>
  <c r="C129" i="19" s="1"/>
  <c r="C133" i="19" s="1"/>
  <c r="E36" i="20"/>
  <c r="F36" i="20" s="1"/>
  <c r="F33" i="20"/>
  <c r="E88" i="22"/>
  <c r="F92" i="6"/>
  <c r="F153" i="6"/>
  <c r="E41" i="7"/>
  <c r="F41" i="7" s="1"/>
  <c r="C43" i="11"/>
  <c r="C175" i="18"/>
  <c r="C163" i="18"/>
  <c r="C144" i="18"/>
  <c r="E17" i="17"/>
  <c r="F17" i="17" s="1"/>
  <c r="F85" i="17"/>
  <c r="F145" i="17"/>
  <c r="E155" i="17"/>
  <c r="C215" i="17"/>
  <c r="D156" i="18"/>
  <c r="E151" i="18"/>
  <c r="F127" i="9"/>
  <c r="E154" i="9"/>
  <c r="E180" i="9"/>
  <c r="E200" i="9"/>
  <c r="F200" i="9" s="1"/>
  <c r="E92" i="15"/>
  <c r="E95" i="17"/>
  <c r="F95" i="17" s="1"/>
  <c r="F120" i="17"/>
  <c r="E130" i="17"/>
  <c r="F130" i="17" s="1"/>
  <c r="F191" i="17"/>
  <c r="E162" i="18"/>
  <c r="E242" i="18"/>
  <c r="E25" i="20"/>
  <c r="F25" i="20" s="1"/>
  <c r="E101" i="9"/>
  <c r="F101" i="9" s="1"/>
  <c r="E24" i="10"/>
  <c r="E29" i="11"/>
  <c r="F29" i="11" s="1"/>
  <c r="C50" i="13"/>
  <c r="E296" i="17"/>
  <c r="F296" i="17" s="1"/>
  <c r="E299" i="17"/>
  <c r="F299" i="17" s="1"/>
  <c r="C76" i="18"/>
  <c r="E73" i="18"/>
  <c r="D217" i="18"/>
  <c r="D102" i="22"/>
  <c r="D103" i="22" s="1"/>
  <c r="F113" i="10"/>
  <c r="D180" i="18" l="1"/>
  <c r="D145" i="18"/>
  <c r="D181" i="18" s="1"/>
  <c r="E35" i="22"/>
  <c r="E29" i="22"/>
  <c r="E53" i="22"/>
  <c r="E45" i="22"/>
  <c r="E39" i="22"/>
  <c r="E283" i="17"/>
  <c r="F283" i="17" s="1"/>
  <c r="D286" i="17"/>
  <c r="E235" i="18"/>
  <c r="E20" i="13"/>
  <c r="D21" i="13"/>
  <c r="E163" i="18"/>
  <c r="E270" i="17"/>
  <c r="F270" i="17" s="1"/>
  <c r="E110" i="22"/>
  <c r="D152" i="8"/>
  <c r="D158" i="8" s="1"/>
  <c r="E207" i="9"/>
  <c r="F207" i="9" s="1"/>
  <c r="E46" i="20"/>
  <c r="F46" i="20" s="1"/>
  <c r="C17" i="13"/>
  <c r="C28" i="13" s="1"/>
  <c r="C70" i="13" s="1"/>
  <c r="C72" i="13" s="1"/>
  <c r="C69" i="13" s="1"/>
  <c r="C24" i="13"/>
  <c r="C20" i="13" s="1"/>
  <c r="D141" i="17"/>
  <c r="E140" i="17"/>
  <c r="F269" i="17"/>
  <c r="D157" i="8"/>
  <c r="E136" i="8"/>
  <c r="E141" i="8" s="1"/>
  <c r="E139" i="8"/>
  <c r="D154" i="8"/>
  <c r="E269" i="17"/>
  <c r="E137" i="8"/>
  <c r="D22" i="8"/>
  <c r="D20" i="8"/>
  <c r="D253" i="18"/>
  <c r="E253" i="18" s="1"/>
  <c r="D156" i="8"/>
  <c r="F190" i="17"/>
  <c r="D44" i="18"/>
  <c r="E43" i="18"/>
  <c r="D259" i="18"/>
  <c r="D263" i="18" s="1"/>
  <c r="D108" i="22"/>
  <c r="D109" i="22"/>
  <c r="E285" i="17"/>
  <c r="F285" i="17" s="1"/>
  <c r="D155" i="8"/>
  <c r="C272" i="17"/>
  <c r="E272" i="17" s="1"/>
  <c r="D24" i="13"/>
  <c r="D20" i="13" s="1"/>
  <c r="D17" i="13"/>
  <c r="D28" i="13" s="1"/>
  <c r="D70" i="13" s="1"/>
  <c r="D72" i="13" s="1"/>
  <c r="D69" i="13" s="1"/>
  <c r="D124" i="18"/>
  <c r="D122" i="18"/>
  <c r="D115" i="18"/>
  <c r="D127" i="18"/>
  <c r="D109" i="18"/>
  <c r="D123" i="18"/>
  <c r="D128" i="18" s="1"/>
  <c r="D121" i="18"/>
  <c r="D114" i="18"/>
  <c r="D112" i="18"/>
  <c r="E175" i="18"/>
  <c r="C286" i="17"/>
  <c r="E138" i="8"/>
  <c r="D126" i="18"/>
  <c r="E126" i="18" s="1"/>
  <c r="D113" i="18"/>
  <c r="E113" i="18" s="1"/>
  <c r="D246" i="18"/>
  <c r="D223" i="18"/>
  <c r="D247" i="18" s="1"/>
  <c r="E75" i="11"/>
  <c r="F75" i="11" s="1"/>
  <c r="C140" i="17"/>
  <c r="C105" i="17"/>
  <c r="E105" i="17" s="1"/>
  <c r="C210" i="17"/>
  <c r="D284" i="17"/>
  <c r="D279" i="17"/>
  <c r="D287" i="17"/>
  <c r="D106" i="17"/>
  <c r="C50" i="17"/>
  <c r="D168" i="18"/>
  <c r="E156" i="18"/>
  <c r="D157" i="18"/>
  <c r="E286" i="17"/>
  <c r="F286" i="17"/>
  <c r="E206" i="17"/>
  <c r="F206" i="17" s="1"/>
  <c r="E20" i="8"/>
  <c r="E21" i="8"/>
  <c r="E22" i="8"/>
  <c r="E207" i="17"/>
  <c r="F207" i="17" s="1"/>
  <c r="D208" i="17"/>
  <c r="D141" i="8"/>
  <c r="C109" i="22"/>
  <c r="C110" i="22"/>
  <c r="C111" i="22"/>
  <c r="C113" i="22"/>
  <c r="C112" i="22"/>
  <c r="C108" i="22"/>
  <c r="E158" i="8"/>
  <c r="E103" i="22"/>
  <c r="D54" i="22"/>
  <c r="D111" i="22"/>
  <c r="D30" i="22"/>
  <c r="D36" i="22"/>
  <c r="D40" i="22"/>
  <c r="D46" i="22"/>
  <c r="C50" i="5"/>
  <c r="F215" i="17"/>
  <c r="E243" i="18"/>
  <c r="D252" i="18"/>
  <c r="C284" i="17"/>
  <c r="E277" i="17"/>
  <c r="F277" i="17" s="1"/>
  <c r="C287" i="17"/>
  <c r="C279" i="17"/>
  <c r="E60" i="17"/>
  <c r="F60" i="17" s="1"/>
  <c r="C61" i="17"/>
  <c r="E173" i="17"/>
  <c r="D175" i="17"/>
  <c r="D310" i="18"/>
  <c r="E310" i="18" s="1"/>
  <c r="E306" i="18"/>
  <c r="C90" i="18"/>
  <c r="C263" i="17"/>
  <c r="C271" i="17"/>
  <c r="E261" i="17"/>
  <c r="F261" i="17" s="1"/>
  <c r="C268" i="17"/>
  <c r="E280" i="17"/>
  <c r="F280" i="17" s="1"/>
  <c r="F124" i="17"/>
  <c r="C92" i="17"/>
  <c r="C176" i="17"/>
  <c r="C125" i="17"/>
  <c r="C160" i="17"/>
  <c r="E160" i="17" s="1"/>
  <c r="C90" i="17"/>
  <c r="E65" i="4"/>
  <c r="D75" i="4"/>
  <c r="E75" i="4" s="1"/>
  <c r="F75" i="4" s="1"/>
  <c r="F37" i="17"/>
  <c r="C158" i="8"/>
  <c r="E159" i="17"/>
  <c r="D49" i="17"/>
  <c r="D91" i="17"/>
  <c r="E21" i="17"/>
  <c r="F21" i="17" s="1"/>
  <c r="D126" i="17"/>
  <c r="D161" i="17"/>
  <c r="C281" i="17"/>
  <c r="E70" i="13"/>
  <c r="E72" i="13" s="1"/>
  <c r="E69" i="13" s="1"/>
  <c r="E22" i="13"/>
  <c r="F159" i="17"/>
  <c r="C161" i="17"/>
  <c r="D193" i="17"/>
  <c r="E192" i="17"/>
  <c r="F192" i="17" s="1"/>
  <c r="E48" i="17"/>
  <c r="F48" i="17" s="1"/>
  <c r="E263" i="17"/>
  <c r="E43" i="11"/>
  <c r="F43" i="11" s="1"/>
  <c r="F40" i="20"/>
  <c r="D110" i="22"/>
  <c r="D53" i="22"/>
  <c r="D45" i="22"/>
  <c r="D35" i="22"/>
  <c r="D29" i="22"/>
  <c r="D39" i="22"/>
  <c r="D116" i="18"/>
  <c r="F65" i="4"/>
  <c r="C109" i="18"/>
  <c r="C112" i="18"/>
  <c r="E112" i="18" s="1"/>
  <c r="C126" i="18"/>
  <c r="C110" i="18"/>
  <c r="E110" i="18" s="1"/>
  <c r="C124" i="18"/>
  <c r="E124" i="18" s="1"/>
  <c r="C127" i="18"/>
  <c r="E127" i="18" s="1"/>
  <c r="C114" i="18"/>
  <c r="E114" i="18" s="1"/>
  <c r="C115" i="18"/>
  <c r="E115" i="18" s="1"/>
  <c r="C113" i="18"/>
  <c r="C111" i="18"/>
  <c r="E111" i="18" s="1"/>
  <c r="C125" i="18"/>
  <c r="E125" i="18" s="1"/>
  <c r="C121" i="18"/>
  <c r="C122" i="18"/>
  <c r="C123" i="18"/>
  <c r="E17" i="12"/>
  <c r="F17" i="12" s="1"/>
  <c r="D20" i="12"/>
  <c r="F181" i="17"/>
  <c r="E181" i="17"/>
  <c r="D273" i="17"/>
  <c r="D304" i="17"/>
  <c r="E217" i="18"/>
  <c r="D241" i="18"/>
  <c r="E241" i="18" s="1"/>
  <c r="F52" i="6"/>
  <c r="D284" i="18"/>
  <c r="E284" i="18" s="1"/>
  <c r="E22" i="18"/>
  <c r="C194" i="17"/>
  <c r="C195" i="17" s="1"/>
  <c r="C126" i="17"/>
  <c r="C259" i="18"/>
  <c r="E76" i="18"/>
  <c r="C180" i="18"/>
  <c r="E180" i="18" s="1"/>
  <c r="E144" i="18"/>
  <c r="C145" i="18"/>
  <c r="C168" i="18"/>
  <c r="C20" i="8"/>
  <c r="C21" i="8"/>
  <c r="C22" i="8"/>
  <c r="C223" i="18"/>
  <c r="C246" i="18"/>
  <c r="E222" i="18"/>
  <c r="C304" i="17"/>
  <c r="E214" i="17"/>
  <c r="C216" i="17"/>
  <c r="F214" i="17"/>
  <c r="C266" i="17"/>
  <c r="D300" i="17"/>
  <c r="E300" i="17" s="1"/>
  <c r="F300" i="17" s="1"/>
  <c r="E264" i="17"/>
  <c r="F264" i="17" s="1"/>
  <c r="E95" i="6"/>
  <c r="F95" i="6" s="1"/>
  <c r="E205" i="17"/>
  <c r="F205" i="17" s="1"/>
  <c r="E21" i="5"/>
  <c r="F21" i="5" s="1"/>
  <c r="D35" i="5"/>
  <c r="C102" i="18"/>
  <c r="F43" i="4"/>
  <c r="C103" i="18" l="1"/>
  <c r="D258" i="18"/>
  <c r="D86" i="18"/>
  <c r="E86" i="18" s="1"/>
  <c r="D83" i="18"/>
  <c r="D100" i="18"/>
  <c r="E100" i="18" s="1"/>
  <c r="D84" i="18"/>
  <c r="D98" i="18"/>
  <c r="E98" i="18" s="1"/>
  <c r="D87" i="18"/>
  <c r="E87" i="18" s="1"/>
  <c r="D101" i="18"/>
  <c r="E101" i="18" s="1"/>
  <c r="D96" i="18"/>
  <c r="D85" i="18"/>
  <c r="E85" i="18" s="1"/>
  <c r="D89" i="18"/>
  <c r="E89" i="18" s="1"/>
  <c r="D88" i="18"/>
  <c r="E88" i="18" s="1"/>
  <c r="D99" i="18"/>
  <c r="E99" i="18" s="1"/>
  <c r="D97" i="18"/>
  <c r="E97" i="18" s="1"/>
  <c r="D95" i="18"/>
  <c r="E44" i="18"/>
  <c r="D322" i="17"/>
  <c r="E141" i="17"/>
  <c r="E123" i="18"/>
  <c r="D289" i="17"/>
  <c r="D291" i="17"/>
  <c r="D305" i="17" s="1"/>
  <c r="C141" i="17"/>
  <c r="F140" i="17"/>
  <c r="C22" i="13"/>
  <c r="D22" i="13"/>
  <c r="E246" i="18"/>
  <c r="F272" i="17"/>
  <c r="C106" i="17"/>
  <c r="F105" i="17"/>
  <c r="E37" i="22"/>
  <c r="E55" i="22"/>
  <c r="E47" i="22"/>
  <c r="E112" i="22"/>
  <c r="C263" i="18"/>
  <c r="E259" i="18"/>
  <c r="E125" i="17"/>
  <c r="F125" i="17" s="1"/>
  <c r="D56" i="22"/>
  <c r="D48" i="22"/>
  <c r="D38" i="22"/>
  <c r="D113" i="22"/>
  <c r="C117" i="18"/>
  <c r="E109" i="18"/>
  <c r="E91" i="17"/>
  <c r="F91" i="17" s="1"/>
  <c r="D92" i="17"/>
  <c r="D210" i="17"/>
  <c r="D209" i="17"/>
  <c r="E208" i="17"/>
  <c r="F208" i="17" s="1"/>
  <c r="D34" i="12"/>
  <c r="E20" i="12"/>
  <c r="F20" i="12" s="1"/>
  <c r="D50" i="17"/>
  <c r="E49" i="17"/>
  <c r="F49" i="17" s="1"/>
  <c r="F176" i="17"/>
  <c r="C211" i="17"/>
  <c r="E279" i="17"/>
  <c r="F279" i="17" s="1"/>
  <c r="D169" i="18"/>
  <c r="E169" i="18" s="1"/>
  <c r="E157" i="18"/>
  <c r="F287" i="17"/>
  <c r="C291" i="17"/>
  <c r="C289" i="17"/>
  <c r="E287" i="17"/>
  <c r="D309" i="17"/>
  <c r="D310" i="17" s="1"/>
  <c r="C273" i="17"/>
  <c r="D129" i="18"/>
  <c r="C127" i="17"/>
  <c r="E304" i="17"/>
  <c r="F304" i="17" s="1"/>
  <c r="C128" i="18"/>
  <c r="E128" i="18" s="1"/>
  <c r="E122" i="18"/>
  <c r="D194" i="17"/>
  <c r="E193" i="17"/>
  <c r="F193" i="17" s="1"/>
  <c r="D282" i="17"/>
  <c r="D266" i="17"/>
  <c r="E216" i="17"/>
  <c r="F216" i="17" s="1"/>
  <c r="F263" i="17"/>
  <c r="E271" i="17"/>
  <c r="F271" i="17" s="1"/>
  <c r="C129" i="18"/>
  <c r="E121" i="18"/>
  <c r="C116" i="18"/>
  <c r="E116" i="18" s="1"/>
  <c r="D112" i="22"/>
  <c r="D47" i="22"/>
  <c r="D55" i="22"/>
  <c r="D37" i="22"/>
  <c r="C162" i="17"/>
  <c r="D162" i="17"/>
  <c r="E161" i="17"/>
  <c r="F161" i="17" s="1"/>
  <c r="E90" i="17"/>
  <c r="F90" i="17" s="1"/>
  <c r="F284" i="17"/>
  <c r="E284" i="17"/>
  <c r="D117" i="18"/>
  <c r="C169" i="18"/>
  <c r="E145" i="18"/>
  <c r="C181" i="18"/>
  <c r="E181" i="18" s="1"/>
  <c r="E175" i="17"/>
  <c r="F175" i="17" s="1"/>
  <c r="D176" i="17"/>
  <c r="E176" i="17" s="1"/>
  <c r="E168" i="18"/>
  <c r="D43" i="5"/>
  <c r="E35" i="5"/>
  <c r="F35" i="5" s="1"/>
  <c r="C265" i="17"/>
  <c r="E223" i="18"/>
  <c r="C247" i="18"/>
  <c r="E247" i="18" s="1"/>
  <c r="C196" i="17"/>
  <c r="C91" i="18"/>
  <c r="E126" i="17"/>
  <c r="F126" i="17" s="1"/>
  <c r="D127" i="17"/>
  <c r="F160" i="17"/>
  <c r="E268" i="17"/>
  <c r="F268" i="17" s="1"/>
  <c r="E61" i="17"/>
  <c r="F61" i="17" s="1"/>
  <c r="C174" i="17"/>
  <c r="C104" i="17"/>
  <c r="C209" i="17"/>
  <c r="C139" i="17"/>
  <c r="C62" i="17"/>
  <c r="D254" i="18"/>
  <c r="E254" i="18" s="1"/>
  <c r="E252" i="18"/>
  <c r="E83" i="18" l="1"/>
  <c r="E95" i="18"/>
  <c r="C324" i="17"/>
  <c r="C325" i="17" s="1"/>
  <c r="E258" i="18"/>
  <c r="E106" i="17"/>
  <c r="F106" i="17" s="1"/>
  <c r="C322" i="17"/>
  <c r="E322" i="17" s="1"/>
  <c r="F322" i="17" s="1"/>
  <c r="F141" i="17"/>
  <c r="D264" i="18"/>
  <c r="D266" i="18" s="1"/>
  <c r="D267" i="18" s="1"/>
  <c r="C113" i="17"/>
  <c r="D102" i="18"/>
  <c r="E102" i="18" s="1"/>
  <c r="E96" i="18"/>
  <c r="D90" i="18"/>
  <c r="E90" i="18" s="1"/>
  <c r="E84" i="18"/>
  <c r="D312" i="17"/>
  <c r="D131" i="18"/>
  <c r="E117" i="18"/>
  <c r="F273" i="17"/>
  <c r="C305" i="17"/>
  <c r="E291" i="17"/>
  <c r="F291" i="17" s="1"/>
  <c r="E43" i="5"/>
  <c r="F43" i="5" s="1"/>
  <c r="D50" i="5"/>
  <c r="E50" i="5" s="1"/>
  <c r="F50" i="5" s="1"/>
  <c r="C323" i="17"/>
  <c r="F323" i="17" s="1"/>
  <c r="F162" i="17"/>
  <c r="C183" i="17"/>
  <c r="F183" i="17" s="1"/>
  <c r="E174" i="17"/>
  <c r="F174" i="17" s="1"/>
  <c r="E266" i="17"/>
  <c r="F266" i="17" s="1"/>
  <c r="D265" i="17"/>
  <c r="E265" i="17" s="1"/>
  <c r="F265" i="17" s="1"/>
  <c r="D70" i="17"/>
  <c r="E50" i="17"/>
  <c r="F50" i="17" s="1"/>
  <c r="F209" i="17"/>
  <c r="E92" i="17"/>
  <c r="F92" i="17" s="1"/>
  <c r="D324" i="17"/>
  <c r="D113" i="17"/>
  <c r="E104" i="17"/>
  <c r="F104" i="17" s="1"/>
  <c r="C131" i="18"/>
  <c r="D42" i="12"/>
  <c r="E34" i="12"/>
  <c r="F34" i="12" s="1"/>
  <c r="E194" i="17"/>
  <c r="F194" i="17" s="1"/>
  <c r="D195" i="17"/>
  <c r="E195" i="17" s="1"/>
  <c r="F195" i="17" s="1"/>
  <c r="D196" i="17"/>
  <c r="E129" i="18"/>
  <c r="C105" i="18"/>
  <c r="C197" i="17"/>
  <c r="C148" i="17"/>
  <c r="C63" i="17"/>
  <c r="E62" i="17"/>
  <c r="F62" i="17" s="1"/>
  <c r="D148" i="17"/>
  <c r="E127" i="17"/>
  <c r="F127" i="17" s="1"/>
  <c r="E209" i="17"/>
  <c r="E273" i="17"/>
  <c r="E282" i="17"/>
  <c r="F282" i="17" s="1"/>
  <c r="D281" i="17"/>
  <c r="E281" i="17" s="1"/>
  <c r="F281" i="17" s="1"/>
  <c r="E139" i="17"/>
  <c r="F139" i="17" s="1"/>
  <c r="D183" i="17"/>
  <c r="E162" i="17"/>
  <c r="D323" i="17"/>
  <c r="E323" i="17" s="1"/>
  <c r="E289" i="17"/>
  <c r="F289" i="17" s="1"/>
  <c r="F211" i="17"/>
  <c r="E210" i="17"/>
  <c r="F210" i="17" s="1"/>
  <c r="D211" i="17"/>
  <c r="E211" i="17" s="1"/>
  <c r="E263" i="18"/>
  <c r="C264" i="18"/>
  <c r="D269" i="18" l="1"/>
  <c r="D268" i="18"/>
  <c r="D271" i="18" s="1"/>
  <c r="D91" i="18"/>
  <c r="D103" i="18"/>
  <c r="E103" i="18" s="1"/>
  <c r="E148" i="17"/>
  <c r="E113" i="17"/>
  <c r="F113" i="17" s="1"/>
  <c r="D49" i="12"/>
  <c r="E49" i="12" s="1"/>
  <c r="F49" i="12" s="1"/>
  <c r="E42" i="12"/>
  <c r="F42" i="12" s="1"/>
  <c r="C309" i="17"/>
  <c r="E305" i="17"/>
  <c r="F305" i="17" s="1"/>
  <c r="E63" i="17"/>
  <c r="F63" i="17" s="1"/>
  <c r="C70" i="17"/>
  <c r="C266" i="18"/>
  <c r="E264" i="18"/>
  <c r="F148" i="17"/>
  <c r="D197" i="17"/>
  <c r="E197" i="17" s="1"/>
  <c r="F197" i="17" s="1"/>
  <c r="E196" i="17"/>
  <c r="F196" i="17" s="1"/>
  <c r="E131" i="18"/>
  <c r="E70" i="17"/>
  <c r="E183" i="17"/>
  <c r="E324" i="17"/>
  <c r="F324" i="17" s="1"/>
  <c r="D325" i="17"/>
  <c r="E325" i="17" s="1"/>
  <c r="F325" i="17" s="1"/>
  <c r="D313" i="17"/>
  <c r="D105" i="18" l="1"/>
  <c r="E105" i="18" s="1"/>
  <c r="E91" i="18"/>
  <c r="C267" i="18"/>
  <c r="E266" i="18"/>
  <c r="D251" i="17"/>
  <c r="D314" i="17"/>
  <c r="D315" i="17"/>
  <c r="D256" i="17"/>
  <c r="F309" i="17"/>
  <c r="C310" i="17"/>
  <c r="E309" i="17"/>
  <c r="F70" i="17"/>
  <c r="D257" i="17" l="1"/>
  <c r="D318" i="17"/>
  <c r="C312" i="17"/>
  <c r="E310" i="17"/>
  <c r="F310" i="17" s="1"/>
  <c r="C268" i="18"/>
  <c r="C269" i="18"/>
  <c r="E269" i="18" s="1"/>
  <c r="E267" i="18"/>
  <c r="C313" i="17" l="1"/>
  <c r="E312" i="17"/>
  <c r="F312" i="17" s="1"/>
  <c r="C271" i="18"/>
  <c r="E271" i="18" s="1"/>
  <c r="E268" i="18"/>
  <c r="C314" i="17" l="1"/>
  <c r="C251" i="17"/>
  <c r="C256" i="17"/>
  <c r="C315" i="17"/>
  <c r="E313" i="17"/>
  <c r="F313" i="17" s="1"/>
  <c r="E251" i="17" l="1"/>
  <c r="F251" i="17" s="1"/>
  <c r="E315" i="17"/>
  <c r="F315" i="17" s="1"/>
  <c r="C257" i="17"/>
  <c r="E256" i="17"/>
  <c r="F256" i="17" s="1"/>
  <c r="C318" i="17"/>
  <c r="E314" i="17"/>
  <c r="F314" i="17" s="1"/>
  <c r="E257" i="17" l="1"/>
  <c r="F257" i="17" s="1"/>
  <c r="E318" i="17"/>
  <c r="F318" i="17" s="1"/>
</calcChain>
</file>

<file path=xl/sharedStrings.xml><?xml version="1.0" encoding="utf-8"?>
<sst xmlns="http://schemas.openxmlformats.org/spreadsheetml/2006/main" count="2333" uniqueCount="1007">
  <si>
    <t>GRIFFIN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</si>
  <si>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</si>
  <si>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</si>
  <si>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</si>
  <si>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</si>
  <si>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</si>
  <si>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</si>
  <si>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</si>
  <si>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</si>
  <si>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</si>
  <si>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</si>
  <si>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</si>
  <si>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</si>
  <si>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</si>
  <si>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</si>
  <si>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</si>
  <si>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</si>
  <si>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</si>
  <si>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</si>
  <si>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</si>
  <si>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</si>
  <si>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</si>
  <si>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</si>
  <si>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</si>
  <si>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</si>
  <si>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</si>
  <si>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</si>
  <si>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</si>
  <si>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</si>
  <si>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</si>
  <si>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</si>
  <si>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</si>
  <si>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</si>
  <si>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</si>
  <si>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</si>
  <si>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</si>
  <si>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</si>
  <si>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</si>
  <si>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</si>
  <si>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</si>
  <si>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</si>
  <si>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</si>
  <si>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</si>
  <si>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</si>
  <si>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</si>
  <si>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</si>
  <si>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</si>
  <si>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</si>
  <si>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</si>
  <si>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</si>
  <si>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</si>
  <si>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</si>
  <si>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</si>
  <si>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</si>
  <si>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</si>
  <si>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</si>
  <si>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</si>
  <si>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</si>
  <si>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</si>
  <si>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</si>
  <si>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</si>
  <si>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</si>
  <si>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</si>
  <si>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</si>
  <si>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</si>
  <si>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</si>
  <si>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</si>
  <si>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</si>
  <si>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</si>
  <si>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</si>
  <si>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</si>
  <si>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</si>
  <si>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</si>
  <si>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</si>
  <si>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</si>
  <si>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</si>
  <si>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</si>
  <si>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</si>
  <si>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</si>
  <si>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</si>
  <si>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</si>
  <si>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</si>
  <si>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</si>
  <si>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</si>
  <si>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</si>
  <si>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</si>
  <si>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</si>
  <si>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</si>
  <si>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</si>
  <si>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</si>
  <si>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</si>
  <si>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</si>
  <si>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</si>
  <si>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</si>
  <si>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</si>
  <si>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</si>
  <si>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</si>
  <si>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</si>
  <si>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</si>
  <si>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</si>
  <si>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</si>
  <si>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</si>
  <si>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</si>
  <si>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</si>
  <si>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</si>
  <si>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</si>
  <si>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</si>
  <si>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</si>
  <si>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</si>
  <si>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</si>
  <si>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</si>
  <si>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</si>
  <si>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</si>
  <si>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</si>
  <si>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</si>
  <si>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</si>
  <si>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</si>
  <si>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</si>
  <si>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</si>
  <si>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</si>
  <si>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</si>
  <si>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</si>
  <si>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</si>
  <si>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</si>
  <si>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</si>
  <si>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</si>
  <si>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</si>
  <si>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</si>
  <si>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</si>
  <si>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</si>
  <si>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</si>
  <si>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</si>
  <si>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</si>
  <si>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</si>
  <si>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</si>
  <si>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</si>
  <si>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</si>
  <si>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</si>
  <si>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</si>
  <si>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</si>
  <si>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</si>
  <si>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</si>
  <si>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</si>
  <si>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</si>
  <si>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</si>
  <si>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</si>
  <si>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</si>
  <si>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</si>
  <si>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</si>
  <si>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</si>
  <si>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</si>
  <si>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</si>
  <si>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</si>
  <si>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</si>
  <si>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</si>
  <si>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</si>
  <si>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</si>
  <si>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</si>
  <si>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</si>
  <si>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</si>
  <si>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</si>
  <si>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</si>
  <si>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</si>
  <si>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</si>
  <si>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</si>
  <si>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</si>
  <si>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</si>
  <si>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</si>
  <si>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</si>
  <si>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</si>
  <si>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</si>
  <si>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</si>
  <si>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</si>
  <si>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</si>
  <si>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</si>
  <si>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</si>
  <si>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</si>
  <si>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</si>
  <si>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</si>
  <si>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</si>
  <si>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</si>
  <si>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</si>
  <si>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</si>
  <si>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</si>
  <si>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</si>
  <si>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</si>
  <si>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</si>
  <si>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</si>
  <si>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</si>
  <si>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</si>
  <si>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</si>
  <si>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</si>
  <si>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</si>
  <si>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</si>
  <si>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</si>
  <si>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</si>
  <si>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</si>
  <si>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</si>
  <si>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</si>
  <si>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</si>
  <si>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</si>
  <si>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</si>
  <si>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</si>
  <si>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</si>
  <si>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</si>
  <si>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</si>
  <si>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</si>
  <si>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</si>
  <si>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</si>
  <si>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</si>
  <si>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</si>
  <si>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</si>
  <si>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</si>
  <si>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</si>
  <si>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</si>
  <si>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</si>
  <si>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</si>
  <si>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</si>
  <si>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</si>
  <si>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</si>
  <si>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</si>
  <si>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</si>
  <si>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</si>
  <si>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</si>
  <si>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</si>
  <si>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</si>
  <si>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</si>
  <si>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</si>
  <si>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</si>
  <si>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</si>
  <si>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</si>
  <si>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</si>
  <si>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</si>
  <si>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</si>
  <si>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</si>
  <si>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</si>
  <si>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</si>
  <si>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</si>
  <si>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</si>
  <si>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</si>
  <si>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</si>
  <si>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</si>
  <si>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</si>
  <si>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</si>
  <si>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</si>
  <si>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</si>
  <si>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</si>
  <si>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</si>
  <si>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</si>
  <si>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</si>
  <si>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</si>
  <si>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</si>
  <si>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</si>
  <si>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</si>
  <si>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</si>
  <si>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</si>
  <si>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</si>
  <si>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</si>
  <si>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</si>
  <si>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</si>
  <si>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</si>
  <si>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</si>
  <si>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</si>
  <si>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</si>
  <si>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</si>
  <si>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</si>
  <si>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</si>
  <si>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</si>
  <si>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</si>
  <si>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</si>
  <si>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</si>
  <si>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</si>
  <si>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</si>
  <si>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</si>
  <si>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</si>
  <si>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</si>
  <si>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</si>
  <si>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</si>
  <si>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</si>
  <si>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</si>
  <si>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</si>
  <si>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</si>
  <si>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</si>
  <si>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</si>
  <si>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</si>
  <si>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</si>
  <si>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</si>
  <si>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</si>
  <si>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</si>
  <si>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</si>
  <si>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</si>
  <si>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</si>
  <si>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</si>
  <si>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</si>
  <si>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</si>
  <si>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</si>
  <si>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</si>
  <si>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</si>
  <si>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</si>
  <si>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</si>
  <si>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</si>
  <si>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</si>
  <si>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</si>
  <si>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</si>
  <si>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</si>
  <si>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</si>
  <si>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</si>
  <si>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</si>
  <si>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</si>
  <si>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</si>
  <si>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</si>
  <si>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</si>
  <si>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</si>
  <si>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</si>
  <si>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</si>
  <si>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</si>
  <si>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</si>
  <si>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</si>
  <si>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</si>
  <si>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</si>
  <si>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</si>
  <si>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</si>
  <si>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</si>
  <si>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</si>
  <si>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</si>
  <si>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</si>
  <si>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</si>
  <si>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</si>
  <si>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</si>
  <si>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</si>
  <si>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</si>
  <si>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</si>
  <si>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</si>
  <si>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</si>
  <si>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</si>
  <si>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</si>
  <si>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</si>
  <si>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</si>
  <si>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</si>
  <si>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</si>
  <si>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</si>
  <si>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</si>
  <si>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</si>
  <si>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</si>
  <si>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</si>
  <si>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</si>
  <si>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</si>
  <si>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</si>
  <si>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</si>
  <si>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</si>
  <si>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</si>
  <si>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</si>
  <si>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</si>
  <si>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</si>
  <si>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</si>
  <si>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</si>
  <si>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</si>
  <si>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</si>
  <si>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</si>
  <si>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</si>
  <si>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</si>
  <si>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</si>
  <si>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</si>
  <si>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</si>
  <si>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</si>
  <si>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</si>
  <si>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</si>
  <si>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</si>
  <si>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</si>
  <si>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</si>
  <si>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</si>
  <si>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</si>
  <si>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</si>
  <si>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</si>
  <si>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</si>
  <si>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</si>
  <si>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</si>
  <si>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</si>
  <si>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</si>
  <si>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</si>
  <si>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</si>
  <si>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</si>
  <si>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</si>
  <si>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</si>
  <si>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</si>
  <si>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</si>
  <si>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</si>
  <si>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</si>
  <si>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</si>
  <si>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</si>
  <si>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</si>
  <si>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</si>
  <si>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</si>
  <si>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</si>
  <si>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</si>
  <si>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</si>
  <si>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</si>
  <si>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</si>
  <si>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</si>
  <si>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</si>
  <si>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</si>
  <si>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</si>
  <si>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</si>
  <si>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</si>
  <si>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</si>
  <si>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</si>
  <si>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</si>
  <si>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</si>
  <si>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</si>
  <si>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</si>
  <si>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</si>
  <si>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</si>
  <si>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</si>
  <si>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</si>
  <si>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</si>
  <si>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</si>
  <si>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</si>
  <si>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</si>
  <si>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</si>
  <si>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</si>
  <si>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</si>
  <si>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</si>
  <si>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</si>
  <si>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</si>
  <si>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</si>
  <si>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</si>
  <si>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</si>
  <si>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</si>
  <si>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</si>
  <si>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</si>
  <si>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</si>
  <si>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</si>
  <si>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</si>
  <si>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</si>
  <si>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</si>
  <si>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</si>
  <si>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</si>
  <si>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</si>
  <si>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</si>
  <si>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</si>
  <si>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</si>
  <si>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</si>
  <si>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</si>
  <si>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</si>
  <si>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</si>
  <si>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</si>
  <si>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</si>
  <si>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</si>
  <si>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</si>
  <si>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</si>
  <si>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</si>
  <si>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</si>
  <si>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</si>
  <si>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</si>
  <si>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</si>
  <si>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</si>
  <si>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</si>
  <si>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</si>
  <si>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</si>
  <si>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</si>
  <si>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</si>
  <si>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</si>
  <si>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</si>
  <si>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</si>
  <si>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</si>
  <si>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</si>
  <si>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</si>
  <si>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</si>
  <si>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</si>
  <si>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</si>
  <si>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</si>
  <si>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</si>
  <si>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</si>
  <si>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</si>
  <si>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</si>
  <si>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</si>
  <si>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</si>
  <si>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</si>
  <si>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</si>
  <si>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</si>
  <si>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</si>
  <si>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</si>
  <si>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</si>
  <si>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</si>
  <si>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</si>
  <si>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</si>
  <si>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</si>
  <si>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</si>
  <si>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</si>
  <si>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</si>
  <si>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</si>
  <si>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</si>
  <si>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</si>
  <si>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</si>
  <si>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</si>
  <si>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</si>
  <si>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</si>
  <si>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</si>
  <si>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</si>
  <si>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</si>
  <si>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GRIFFIN HEALTH SERVICES CORPORATION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</si>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</sst>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6748148</v>
      </c>
      <c r="D13" s="22">
        <v>8419689</v>
      </c>
      <c r="E13" s="22">
        <f t="shared" ref="E13:E22" si="0">D13-C13</f>
        <v>1671541</v>
      </c>
      <c r="F13" s="23">
        <f t="shared" ref="F13:F22" si="1">IF(C13=0,0,E13/C13)</f>
        <v>0.24770366625035492</v>
      </c>
    </row>
    <row r="14" spans="1:8" ht="24" customHeight="1" x14ac:dyDescent="0.2">
      <c r="A14" s="20">
        <v>2</v>
      </c>
      <c r="B14" s="21" t="s">
        <v>17</v>
      </c>
      <c r="C14" s="22">
        <v>7914147</v>
      </c>
      <c r="D14" s="22">
        <v>7871187</v>
      </c>
      <c r="E14" s="22">
        <f t="shared" si="0"/>
        <v>-42960</v>
      </c>
      <c r="F14" s="23">
        <f t="shared" si="1"/>
        <v>-5.4282539861844874E-3</v>
      </c>
    </row>
    <row r="15" spans="1:8" ht="24" customHeight="1" x14ac:dyDescent="0.2">
      <c r="A15" s="20">
        <v>3</v>
      </c>
      <c r="B15" s="21" t="s">
        <v>18</v>
      </c>
      <c r="C15" s="22">
        <v>13268952</v>
      </c>
      <c r="D15" s="22">
        <v>13410622</v>
      </c>
      <c r="E15" s="22">
        <f t="shared" si="0"/>
        <v>141670</v>
      </c>
      <c r="F15" s="23">
        <f t="shared" si="1"/>
        <v>1.0676804015871035E-2</v>
      </c>
    </row>
    <row r="16" spans="1:8" ht="24" customHeight="1" x14ac:dyDescent="0.2">
      <c r="A16" s="20">
        <v>4</v>
      </c>
      <c r="B16" s="21" t="s">
        <v>19</v>
      </c>
      <c r="C16" s="22">
        <v>724768</v>
      </c>
      <c r="D16" s="22">
        <v>757551</v>
      </c>
      <c r="E16" s="22">
        <f t="shared" si="0"/>
        <v>32783</v>
      </c>
      <c r="F16" s="23">
        <f t="shared" si="1"/>
        <v>4.5232405404212105E-2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938379</v>
      </c>
      <c r="D19" s="22">
        <v>993431</v>
      </c>
      <c r="E19" s="22">
        <f t="shared" si="0"/>
        <v>55052</v>
      </c>
      <c r="F19" s="23">
        <f t="shared" si="1"/>
        <v>5.8667127035025295E-2</v>
      </c>
    </row>
    <row r="20" spans="1:11" ht="24" customHeight="1" x14ac:dyDescent="0.2">
      <c r="A20" s="20">
        <v>8</v>
      </c>
      <c r="B20" s="21" t="s">
        <v>23</v>
      </c>
      <c r="C20" s="22">
        <v>2754649</v>
      </c>
      <c r="D20" s="22">
        <v>1464989</v>
      </c>
      <c r="E20" s="22">
        <f t="shared" si="0"/>
        <v>-1289660</v>
      </c>
      <c r="F20" s="23">
        <f t="shared" si="1"/>
        <v>-0.46817580025622141</v>
      </c>
    </row>
    <row r="21" spans="1:11" ht="24" customHeight="1" x14ac:dyDescent="0.2">
      <c r="A21" s="20">
        <v>9</v>
      </c>
      <c r="B21" s="21" t="s">
        <v>24</v>
      </c>
      <c r="C21" s="22">
        <v>896258</v>
      </c>
      <c r="D21" s="22">
        <v>442317</v>
      </c>
      <c r="E21" s="22">
        <f t="shared" si="0"/>
        <v>-453941</v>
      </c>
      <c r="F21" s="23">
        <f t="shared" si="1"/>
        <v>-0.50648473988516696</v>
      </c>
    </row>
    <row r="22" spans="1:11" ht="24" customHeight="1" x14ac:dyDescent="0.25">
      <c r="A22" s="24"/>
      <c r="B22" s="25" t="s">
        <v>25</v>
      </c>
      <c r="C22" s="26">
        <f>SUM(C13:C21)</f>
        <v>33245301</v>
      </c>
      <c r="D22" s="26">
        <f>SUM(D13:D21)</f>
        <v>33359786</v>
      </c>
      <c r="E22" s="26">
        <f t="shared" si="0"/>
        <v>114485</v>
      </c>
      <c r="F22" s="27">
        <f t="shared" si="1"/>
        <v>3.4436445619788494E-3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3450227</v>
      </c>
      <c r="D25" s="22">
        <v>3581854</v>
      </c>
      <c r="E25" s="22">
        <f>D25-C25</f>
        <v>131627</v>
      </c>
      <c r="F25" s="23">
        <f>IF(C25=0,0,E25/C25)</f>
        <v>3.8150243447749962E-2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23986</v>
      </c>
      <c r="D26" s="22">
        <v>32847</v>
      </c>
      <c r="E26" s="22">
        <f>D26-C26</f>
        <v>8861</v>
      </c>
      <c r="F26" s="23">
        <f>IF(C26=0,0,E26/C26)</f>
        <v>0.36942383056783124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4289023</v>
      </c>
      <c r="D28" s="22">
        <v>4235986</v>
      </c>
      <c r="E28" s="22">
        <f>D28-C28</f>
        <v>-53037</v>
      </c>
      <c r="F28" s="23">
        <f>IF(C28=0,0,E28/C28)</f>
        <v>-1.2365753226317508E-2</v>
      </c>
    </row>
    <row r="29" spans="1:11" ht="24" customHeight="1" x14ac:dyDescent="0.25">
      <c r="A29" s="24"/>
      <c r="B29" s="25" t="s">
        <v>32</v>
      </c>
      <c r="C29" s="26">
        <f>SUM(C25:C28)</f>
        <v>7763236</v>
      </c>
      <c r="D29" s="26">
        <f>SUM(D25:D28)</f>
        <v>7850687</v>
      </c>
      <c r="E29" s="26">
        <f>D29-C29</f>
        <v>87451</v>
      </c>
      <c r="F29" s="27">
        <f>IF(C29=0,0,E29/C29)</f>
        <v>1.1264761241317409E-2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1233522</v>
      </c>
      <c r="D32" s="22">
        <v>1324584</v>
      </c>
      <c r="E32" s="22">
        <f>D32-C32</f>
        <v>91062</v>
      </c>
      <c r="F32" s="23">
        <f>IF(C32=0,0,E32/C32)</f>
        <v>7.3822761166805292E-2</v>
      </c>
    </row>
    <row r="33" spans="1:8" ht="24" customHeight="1" x14ac:dyDescent="0.2">
      <c r="A33" s="20">
        <v>7</v>
      </c>
      <c r="B33" s="21" t="s">
        <v>35</v>
      </c>
      <c r="C33" s="22">
        <v>22068149</v>
      </c>
      <c r="D33" s="22">
        <v>22617826</v>
      </c>
      <c r="E33" s="22">
        <f>D33-C33</f>
        <v>549677</v>
      </c>
      <c r="F33" s="23">
        <f>IF(C33=0,0,E33/C33)</f>
        <v>2.4908160625524145E-2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151798653</v>
      </c>
      <c r="D36" s="22">
        <v>154361669</v>
      </c>
      <c r="E36" s="22">
        <f>D36-C36</f>
        <v>2563016</v>
      </c>
      <c r="F36" s="23">
        <f>IF(C36=0,0,E36/C36)</f>
        <v>1.6884313196112485E-2</v>
      </c>
    </row>
    <row r="37" spans="1:8" ht="24" customHeight="1" x14ac:dyDescent="0.2">
      <c r="A37" s="20">
        <v>2</v>
      </c>
      <c r="B37" s="21" t="s">
        <v>39</v>
      </c>
      <c r="C37" s="22">
        <v>101440870</v>
      </c>
      <c r="D37" s="22">
        <v>102648546</v>
      </c>
      <c r="E37" s="22">
        <f>D37-C37</f>
        <v>1207676</v>
      </c>
      <c r="F37" s="23">
        <f>IF(C37=0,0,E37/C37)</f>
        <v>1.1905221238737404E-2</v>
      </c>
    </row>
    <row r="38" spans="1:8" ht="24" customHeight="1" x14ac:dyDescent="0.25">
      <c r="A38" s="24"/>
      <c r="B38" s="25" t="s">
        <v>40</v>
      </c>
      <c r="C38" s="26">
        <f>C36-C37</f>
        <v>50357783</v>
      </c>
      <c r="D38" s="26">
        <f>D36-D37</f>
        <v>51713123</v>
      </c>
      <c r="E38" s="26">
        <f>D38-C38</f>
        <v>1355340</v>
      </c>
      <c r="F38" s="27">
        <f>IF(C38=0,0,E38/C38)</f>
        <v>2.6914211056511365E-2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1265026</v>
      </c>
      <c r="D40" s="22">
        <v>253250</v>
      </c>
      <c r="E40" s="22">
        <f>D40-C40</f>
        <v>-1011776</v>
      </c>
      <c r="F40" s="23">
        <f>IF(C40=0,0,E40/C40)</f>
        <v>-0.79980648619079764</v>
      </c>
    </row>
    <row r="41" spans="1:8" ht="24" customHeight="1" x14ac:dyDescent="0.25">
      <c r="A41" s="24"/>
      <c r="B41" s="25" t="s">
        <v>42</v>
      </c>
      <c r="C41" s="26">
        <f>+C38+C40</f>
        <v>51622809</v>
      </c>
      <c r="D41" s="26">
        <f>+D38+D40</f>
        <v>51966373</v>
      </c>
      <c r="E41" s="26">
        <f>D41-C41</f>
        <v>343564</v>
      </c>
      <c r="F41" s="27">
        <f>IF(C41=0,0,E41/C41)</f>
        <v>6.6552751904686161E-3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115933017</v>
      </c>
      <c r="D43" s="26">
        <f>D22+D29+D31+D32+D33+D41</f>
        <v>117119256</v>
      </c>
      <c r="E43" s="26">
        <f>D43-C43</f>
        <v>1186239</v>
      </c>
      <c r="F43" s="27">
        <f>IF(C43=0,0,E43/C43)</f>
        <v>1.0232106700026619E-2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22109429</v>
      </c>
      <c r="D49" s="22">
        <v>20742189</v>
      </c>
      <c r="E49" s="22">
        <f t="shared" ref="E49:E56" si="2">D49-C49</f>
        <v>-1367240</v>
      </c>
      <c r="F49" s="23">
        <f t="shared" ref="F49:F56" si="3">IF(C49=0,0,E49/C49)</f>
        <v>-6.1839679351284919E-2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2616945</v>
      </c>
      <c r="D50" s="22">
        <v>2226745</v>
      </c>
      <c r="E50" s="22">
        <f t="shared" si="2"/>
        <v>-390200</v>
      </c>
      <c r="F50" s="23">
        <f t="shared" si="3"/>
        <v>-0.14910515887800468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1153146</v>
      </c>
      <c r="D51" s="22">
        <v>357083</v>
      </c>
      <c r="E51" s="22">
        <f t="shared" si="2"/>
        <v>-796063</v>
      </c>
      <c r="F51" s="23">
        <f t="shared" si="3"/>
        <v>-0.69034016507883655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276634</v>
      </c>
      <c r="D52" s="22">
        <v>276634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5013100</v>
      </c>
      <c r="D53" s="22">
        <v>5166436</v>
      </c>
      <c r="E53" s="22">
        <f t="shared" si="2"/>
        <v>153336</v>
      </c>
      <c r="F53" s="23">
        <f t="shared" si="3"/>
        <v>3.0587061897827693E-2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934426</v>
      </c>
      <c r="D55" s="22">
        <v>1268884</v>
      </c>
      <c r="E55" s="22">
        <f t="shared" si="2"/>
        <v>334458</v>
      </c>
      <c r="F55" s="23">
        <f t="shared" si="3"/>
        <v>0.3579288247544482</v>
      </c>
    </row>
    <row r="56" spans="1:6" ht="24" customHeight="1" x14ac:dyDescent="0.25">
      <c r="A56" s="24"/>
      <c r="B56" s="25" t="s">
        <v>54</v>
      </c>
      <c r="C56" s="26">
        <f>SUM(C49:C55)</f>
        <v>32103680</v>
      </c>
      <c r="D56" s="26">
        <f>SUM(D49:D55)</f>
        <v>30037971</v>
      </c>
      <c r="E56" s="26">
        <f t="shared" si="2"/>
        <v>-2065709</v>
      </c>
      <c r="F56" s="27">
        <f t="shared" si="3"/>
        <v>-6.4344928681073318E-2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41160778</v>
      </c>
      <c r="D59" s="22">
        <v>38138531</v>
      </c>
      <c r="E59" s="22">
        <f>D59-C59</f>
        <v>-3022247</v>
      </c>
      <c r="F59" s="23">
        <f>IF(C59=0,0,E59/C59)</f>
        <v>-7.3425409986176651E-2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41160778</v>
      </c>
      <c r="D61" s="26">
        <f>SUM(D59:D60)</f>
        <v>38138531</v>
      </c>
      <c r="E61" s="26">
        <f>D61-C61</f>
        <v>-3022247</v>
      </c>
      <c r="F61" s="27">
        <f>IF(C61=0,0,E61/C61)</f>
        <v>-7.3425409986176651E-2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45060464</v>
      </c>
      <c r="D63" s="22">
        <v>49234443</v>
      </c>
      <c r="E63" s="22">
        <f>D63-C63</f>
        <v>4173979</v>
      </c>
      <c r="F63" s="23">
        <f>IF(C63=0,0,E63/C63)</f>
        <v>9.2630626262525842E-2</v>
      </c>
    </row>
    <row r="64" spans="1:6" ht="24" customHeight="1" x14ac:dyDescent="0.2">
      <c r="A64" s="20">
        <v>4</v>
      </c>
      <c r="B64" s="21" t="s">
        <v>60</v>
      </c>
      <c r="C64" s="22">
        <v>27184478</v>
      </c>
      <c r="D64" s="22">
        <v>29843799</v>
      </c>
      <c r="E64" s="22">
        <f>D64-C64</f>
        <v>2659321</v>
      </c>
      <c r="F64" s="23">
        <f>IF(C64=0,0,E64/C64)</f>
        <v>9.7824979387134081E-2</v>
      </c>
    </row>
    <row r="65" spans="1:6" ht="24" customHeight="1" x14ac:dyDescent="0.25">
      <c r="A65" s="24"/>
      <c r="B65" s="25" t="s">
        <v>61</v>
      </c>
      <c r="C65" s="26">
        <f>SUM(C61:C64)</f>
        <v>113405720</v>
      </c>
      <c r="D65" s="26">
        <f>SUM(D61:D64)</f>
        <v>117216773</v>
      </c>
      <c r="E65" s="26">
        <f>D65-C65</f>
        <v>3811053</v>
      </c>
      <c r="F65" s="27">
        <f>IF(C65=0,0,E65/C65)</f>
        <v>3.360547422122976E-2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-39254442</v>
      </c>
      <c r="D70" s="22">
        <v>-38610232</v>
      </c>
      <c r="E70" s="22">
        <f>D70-C70</f>
        <v>644210</v>
      </c>
      <c r="F70" s="23">
        <f>IF(C70=0,0,E70/C70)</f>
        <v>-1.6411136349868381E-2</v>
      </c>
    </row>
    <row r="71" spans="1:6" ht="24" customHeight="1" x14ac:dyDescent="0.2">
      <c r="A71" s="20">
        <v>2</v>
      </c>
      <c r="B71" s="21" t="s">
        <v>65</v>
      </c>
      <c r="C71" s="22">
        <v>4067571</v>
      </c>
      <c r="D71" s="22">
        <v>2732629</v>
      </c>
      <c r="E71" s="22">
        <f>D71-C71</f>
        <v>-1334942</v>
      </c>
      <c r="F71" s="23">
        <f>IF(C71=0,0,E71/C71)</f>
        <v>-0.32819144398462868</v>
      </c>
    </row>
    <row r="72" spans="1:6" ht="24" customHeight="1" x14ac:dyDescent="0.2">
      <c r="A72" s="20">
        <v>3</v>
      </c>
      <c r="B72" s="21" t="s">
        <v>66</v>
      </c>
      <c r="C72" s="22">
        <v>5610488</v>
      </c>
      <c r="D72" s="22">
        <v>5742115</v>
      </c>
      <c r="E72" s="22">
        <f>D72-C72</f>
        <v>131627</v>
      </c>
      <c r="F72" s="23">
        <f>IF(C72=0,0,E72/C72)</f>
        <v>2.3460882547115331E-2</v>
      </c>
    </row>
    <row r="73" spans="1:6" ht="24" customHeight="1" x14ac:dyDescent="0.25">
      <c r="A73" s="20"/>
      <c r="B73" s="25" t="s">
        <v>67</v>
      </c>
      <c r="C73" s="26">
        <f>SUM(C70:C72)</f>
        <v>-29576383</v>
      </c>
      <c r="D73" s="26">
        <f>SUM(D70:D72)</f>
        <v>-30135488</v>
      </c>
      <c r="E73" s="26">
        <f>D73-C73</f>
        <v>-559105</v>
      </c>
      <c r="F73" s="27">
        <f>IF(C73=0,0,E73/C73)</f>
        <v>1.8903765210235478E-2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115933017</v>
      </c>
      <c r="D75" s="26">
        <f>D56+D65+D67+D73</f>
        <v>117119256</v>
      </c>
      <c r="E75" s="26">
        <f>D75-C75</f>
        <v>1186239</v>
      </c>
      <c r="F75" s="27">
        <f>IF(C75=0,0,E75/C75)</f>
        <v>1.0232106700026619E-2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0" fitToHeight="0" orientation="portrait" r:id="rId1"/>
  <headerFooter>
    <oddHeader>&amp;LOFFICE OF HEALTH CARE ACCESS&amp;CTWELVE MONTHS ACTUAL FILING&amp;RGRIFFIN HOSPITAL</oddHeader>
    <oddFooter>&amp;LREPORT 100&amp;CPAGE &amp;P of &amp;N&amp;R&amp;D,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topLeftCell="A60"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140783254</v>
      </c>
      <c r="D11" s="76">
        <v>151665668</v>
      </c>
      <c r="E11" s="76">
        <v>170397927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12793304</v>
      </c>
      <c r="D12" s="185">
        <v>15016680</v>
      </c>
      <c r="E12" s="185">
        <v>13560736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153576558</v>
      </c>
      <c r="D13" s="76">
        <f>+D11+D12</f>
        <v>166682348</v>
      </c>
      <c r="E13" s="76">
        <f>+E11+E12</f>
        <v>183958663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151471877</v>
      </c>
      <c r="D14" s="185">
        <v>165887433</v>
      </c>
      <c r="E14" s="185">
        <v>173998102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2104681</v>
      </c>
      <c r="D15" s="76">
        <f>+D13-D14</f>
        <v>794915</v>
      </c>
      <c r="E15" s="76">
        <f>+E13-E14</f>
        <v>9960561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2503583</v>
      </c>
      <c r="D16" s="185">
        <v>-626903</v>
      </c>
      <c r="E16" s="185">
        <v>1309748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4608264</v>
      </c>
      <c r="D17" s="76">
        <f>D15+D16</f>
        <v>168012</v>
      </c>
      <c r="E17" s="76">
        <f>E15+E16</f>
        <v>11270309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1.3484617495316075E-2</v>
      </c>
      <c r="D20" s="189">
        <f>IF(+D27=0,0,+D24/+D27)</f>
        <v>4.7870456762197713E-3</v>
      </c>
      <c r="E20" s="189">
        <f>IF(+E27=0,0,+E24/+E27)</f>
        <v>5.3762867324424778E-2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1.6040368646258463E-2</v>
      </c>
      <c r="D21" s="189">
        <f>IF(+D27=0,0,+D26/+D27)</f>
        <v>-3.7752631357556507E-3</v>
      </c>
      <c r="E21" s="189">
        <f>IF(+E27=0,0,+E26/+E27)</f>
        <v>7.0694620466086903E-3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2.952498614157454E-2</v>
      </c>
      <c r="D22" s="189">
        <f>IF(+D27=0,0,+D28/+D27)</f>
        <v>1.0117825404641202E-3</v>
      </c>
      <c r="E22" s="189">
        <f>IF(+E27=0,0,+E28/+E27)</f>
        <v>6.0832329371033465E-2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2104681</v>
      </c>
      <c r="D24" s="76">
        <f>+D15</f>
        <v>794915</v>
      </c>
      <c r="E24" s="76">
        <f>+E15</f>
        <v>9960561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153576558</v>
      </c>
      <c r="D25" s="76">
        <f>+D13</f>
        <v>166682348</v>
      </c>
      <c r="E25" s="76">
        <f>+E13</f>
        <v>183958663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2503583</v>
      </c>
      <c r="D26" s="76">
        <f>+D16</f>
        <v>-626903</v>
      </c>
      <c r="E26" s="76">
        <f>+E16</f>
        <v>1309748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156080141</v>
      </c>
      <c r="D27" s="76">
        <f>SUM(D25:D26)</f>
        <v>166055445</v>
      </c>
      <c r="E27" s="76">
        <f>SUM(E25:E26)</f>
        <v>185268411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4608264</v>
      </c>
      <c r="D28" s="76">
        <f>+D17</f>
        <v>168012</v>
      </c>
      <c r="E28" s="76">
        <f>+E17</f>
        <v>11270309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-20969896</v>
      </c>
      <c r="D31" s="76">
        <v>-33789551</v>
      </c>
      <c r="E31" s="76">
        <v>-33611886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-11497423</v>
      </c>
      <c r="D32" s="76">
        <v>-24078995</v>
      </c>
      <c r="E32" s="76">
        <v>-25104645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371512</v>
      </c>
      <c r="D33" s="76">
        <f>+D32-C32</f>
        <v>-12581572</v>
      </c>
      <c r="E33" s="76">
        <f>+E32-D32</f>
        <v>-1025650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0.96860000000000002</v>
      </c>
      <c r="D34" s="193">
        <f>IF(C32=0,0,+D33/C32)</f>
        <v>1.0942949563567419</v>
      </c>
      <c r="E34" s="193">
        <f>IF(D32=0,0,+E33/D32)</f>
        <v>4.2595216287058493E-2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1.8866284729137379</v>
      </c>
      <c r="D38" s="338">
        <f>IF(+D40=0,0,+D39/+D40)</f>
        <v>1.9201335540979716</v>
      </c>
      <c r="E38" s="338">
        <f>IF(+E40=0,0,+E39/+E40)</f>
        <v>1.9992764461579644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67467385</v>
      </c>
      <c r="D39" s="341">
        <v>70261936</v>
      </c>
      <c r="E39" s="341">
        <v>67890210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35760822</v>
      </c>
      <c r="D40" s="341">
        <v>36592213</v>
      </c>
      <c r="E40" s="341">
        <v>33957390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113.68637789094979</v>
      </c>
      <c r="D42" s="343">
        <f>IF((D48/365)=0,0,+D45/(D48/365))</f>
        <v>105.71025920658258</v>
      </c>
      <c r="E42" s="343">
        <f>IF((E48/365)=0,0,+E45/(E48/365))</f>
        <v>100.85053254043297</v>
      </c>
    </row>
    <row r="43" spans="1:14" ht="24" customHeight="1" x14ac:dyDescent="0.2">
      <c r="A43" s="339">
        <v>5</v>
      </c>
      <c r="B43" s="344" t="s">
        <v>16</v>
      </c>
      <c r="C43" s="345">
        <v>13616313</v>
      </c>
      <c r="D43" s="345">
        <v>11774575</v>
      </c>
      <c r="E43" s="345">
        <v>13473553</v>
      </c>
    </row>
    <row r="44" spans="1:14" ht="24" customHeight="1" x14ac:dyDescent="0.2">
      <c r="A44" s="339">
        <v>6</v>
      </c>
      <c r="B44" s="346" t="s">
        <v>17</v>
      </c>
      <c r="C44" s="345">
        <v>31664235</v>
      </c>
      <c r="D44" s="345">
        <v>34851842</v>
      </c>
      <c r="E44" s="345">
        <v>33290380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45280548</v>
      </c>
      <c r="D45" s="341">
        <f>+D43+D44</f>
        <v>46626417</v>
      </c>
      <c r="E45" s="341">
        <f>+E43+E44</f>
        <v>46763933</v>
      </c>
    </row>
    <row r="46" spans="1:14" ht="24" customHeight="1" x14ac:dyDescent="0.2">
      <c r="A46" s="339">
        <v>8</v>
      </c>
      <c r="B46" s="340" t="s">
        <v>334</v>
      </c>
      <c r="C46" s="341">
        <f>+C14</f>
        <v>151471877</v>
      </c>
      <c r="D46" s="341">
        <f>+D14</f>
        <v>165887433</v>
      </c>
      <c r="E46" s="341">
        <f>+E14</f>
        <v>173998102</v>
      </c>
    </row>
    <row r="47" spans="1:14" ht="24" customHeight="1" x14ac:dyDescent="0.2">
      <c r="A47" s="339">
        <v>9</v>
      </c>
      <c r="B47" s="340" t="s">
        <v>356</v>
      </c>
      <c r="C47" s="341">
        <v>6094741</v>
      </c>
      <c r="D47" s="341">
        <v>4894145</v>
      </c>
      <c r="E47" s="341">
        <v>4749263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145377136</v>
      </c>
      <c r="D48" s="341">
        <f>+D46-D47</f>
        <v>160993288</v>
      </c>
      <c r="E48" s="341">
        <f>+E46-E47</f>
        <v>169248839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34.13527467549514</v>
      </c>
      <c r="D50" s="350">
        <f>IF((D55/365)=0,0,+D54/(D55/365))</f>
        <v>30.589733960094382</v>
      </c>
      <c r="E50" s="350">
        <f>IF((E55/365)=0,0,+E54/(E55/365))</f>
        <v>28.918642067752387</v>
      </c>
    </row>
    <row r="51" spans="1:5" ht="24" customHeight="1" x14ac:dyDescent="0.2">
      <c r="A51" s="339">
        <v>12</v>
      </c>
      <c r="B51" s="344" t="s">
        <v>359</v>
      </c>
      <c r="C51" s="351">
        <v>13166233</v>
      </c>
      <c r="D51" s="351">
        <v>13863865</v>
      </c>
      <c r="E51" s="351">
        <v>13857567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0</v>
      </c>
      <c r="D53" s="341">
        <v>1153146</v>
      </c>
      <c r="E53" s="341">
        <v>357083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13166233</v>
      </c>
      <c r="D54" s="352">
        <f>+D51+D52-D53</f>
        <v>12710719</v>
      </c>
      <c r="E54" s="352">
        <f>+E51+E52-E53</f>
        <v>13500484</v>
      </c>
    </row>
    <row r="55" spans="1:5" ht="24" customHeight="1" x14ac:dyDescent="0.2">
      <c r="A55" s="339">
        <v>16</v>
      </c>
      <c r="B55" s="340" t="s">
        <v>75</v>
      </c>
      <c r="C55" s="341">
        <f>+C11</f>
        <v>140783254</v>
      </c>
      <c r="D55" s="341">
        <f>+D11</f>
        <v>151665668</v>
      </c>
      <c r="E55" s="341">
        <f>+E11</f>
        <v>170397927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89.78509543619019</v>
      </c>
      <c r="D57" s="355">
        <f>IF((D61/365)=0,0,+D58/(D61/365))</f>
        <v>82.960960117790748</v>
      </c>
      <c r="E57" s="355">
        <f>IF((E61/365)=0,0,+E58/(E61/365))</f>
        <v>73.232096735387358</v>
      </c>
    </row>
    <row r="58" spans="1:5" ht="24" customHeight="1" x14ac:dyDescent="0.2">
      <c r="A58" s="339">
        <v>18</v>
      </c>
      <c r="B58" s="340" t="s">
        <v>54</v>
      </c>
      <c r="C58" s="353">
        <f>+C40</f>
        <v>35760822</v>
      </c>
      <c r="D58" s="353">
        <f>+D40</f>
        <v>36592213</v>
      </c>
      <c r="E58" s="353">
        <f>+E40</f>
        <v>33957390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151471877</v>
      </c>
      <c r="D59" s="353">
        <f t="shared" si="0"/>
        <v>165887433</v>
      </c>
      <c r="E59" s="353">
        <f t="shared" si="0"/>
        <v>173998102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6094741</v>
      </c>
      <c r="D60" s="356">
        <f t="shared" si="0"/>
        <v>4894145</v>
      </c>
      <c r="E60" s="356">
        <f t="shared" si="0"/>
        <v>4749263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145377136</v>
      </c>
      <c r="D61" s="353">
        <f>+D59-D60</f>
        <v>160993288</v>
      </c>
      <c r="E61" s="353">
        <f>+E59-E60</f>
        <v>169248839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-7.3573643858445417</v>
      </c>
      <c r="D65" s="357">
        <f>IF(D67=0,0,(D66/D67)*100)</f>
        <v>-15.844353289841884</v>
      </c>
      <c r="E65" s="357">
        <f>IF(E67=0,0,(E66/E67)*100)</f>
        <v>-16.574138795273154</v>
      </c>
    </row>
    <row r="66" spans="1:5" ht="24" customHeight="1" x14ac:dyDescent="0.2">
      <c r="A66" s="339">
        <v>2</v>
      </c>
      <c r="B66" s="340" t="s">
        <v>67</v>
      </c>
      <c r="C66" s="353">
        <f>+C32</f>
        <v>-11497423</v>
      </c>
      <c r="D66" s="353">
        <f>+D32</f>
        <v>-24078995</v>
      </c>
      <c r="E66" s="353">
        <f>+E32</f>
        <v>-25104645</v>
      </c>
    </row>
    <row r="67" spans="1:5" ht="24" customHeight="1" x14ac:dyDescent="0.2">
      <c r="A67" s="339">
        <v>3</v>
      </c>
      <c r="B67" s="340" t="s">
        <v>43</v>
      </c>
      <c r="C67" s="353">
        <v>156270947</v>
      </c>
      <c r="D67" s="353">
        <v>151972091</v>
      </c>
      <c r="E67" s="353">
        <v>151468775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13.217742991969031</v>
      </c>
      <c r="D69" s="357">
        <f>IF(D75=0,0,(D72/D75)*100)</f>
        <v>6.2887486929852452</v>
      </c>
      <c r="E69" s="357">
        <f>IF(E75=0,0,(E72/E75)*100)</f>
        <v>21.3901401557615</v>
      </c>
    </row>
    <row r="70" spans="1:5" ht="24" customHeight="1" x14ac:dyDescent="0.2">
      <c r="A70" s="339">
        <v>5</v>
      </c>
      <c r="B70" s="340" t="s">
        <v>366</v>
      </c>
      <c r="C70" s="353">
        <f>+C28</f>
        <v>4608264</v>
      </c>
      <c r="D70" s="353">
        <f>+D28</f>
        <v>168012</v>
      </c>
      <c r="E70" s="353">
        <f>+E28</f>
        <v>11270309</v>
      </c>
    </row>
    <row r="71" spans="1:5" ht="24" customHeight="1" x14ac:dyDescent="0.2">
      <c r="A71" s="339">
        <v>6</v>
      </c>
      <c r="B71" s="340" t="s">
        <v>356</v>
      </c>
      <c r="C71" s="356">
        <f>+C47</f>
        <v>6094741</v>
      </c>
      <c r="D71" s="356">
        <f>+D47</f>
        <v>4894145</v>
      </c>
      <c r="E71" s="356">
        <f>+E47</f>
        <v>4749263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10703005</v>
      </c>
      <c r="D72" s="353">
        <f>+D70+D71</f>
        <v>5062157</v>
      </c>
      <c r="E72" s="353">
        <f>+E70+E71</f>
        <v>16019572</v>
      </c>
    </row>
    <row r="73" spans="1:5" ht="24" customHeight="1" x14ac:dyDescent="0.2">
      <c r="A73" s="339">
        <v>8</v>
      </c>
      <c r="B73" s="340" t="s">
        <v>54</v>
      </c>
      <c r="C73" s="341">
        <f>+C40</f>
        <v>35760822</v>
      </c>
      <c r="D73" s="341">
        <f>+D40</f>
        <v>36592213</v>
      </c>
      <c r="E73" s="341">
        <f>+E40</f>
        <v>33957390</v>
      </c>
    </row>
    <row r="74" spans="1:5" ht="24" customHeight="1" x14ac:dyDescent="0.2">
      <c r="A74" s="339">
        <v>9</v>
      </c>
      <c r="B74" s="340" t="s">
        <v>58</v>
      </c>
      <c r="C74" s="353">
        <v>45213706</v>
      </c>
      <c r="D74" s="353">
        <v>43903244</v>
      </c>
      <c r="E74" s="353">
        <v>40934929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80974528</v>
      </c>
      <c r="D75" s="341">
        <f>+D73+D74</f>
        <v>80495457</v>
      </c>
      <c r="E75" s="341">
        <f>+E73+E74</f>
        <v>74892319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134.10050568148333</v>
      </c>
      <c r="D77" s="359">
        <f>IF(D80=0,0,(D78/D80)*100)</f>
        <v>221.46233130949878</v>
      </c>
      <c r="E77" s="359">
        <f>IF(E80=0,0,(E78/E80)*100)</f>
        <v>258.58619466334278</v>
      </c>
    </row>
    <row r="78" spans="1:5" ht="24" customHeight="1" x14ac:dyDescent="0.2">
      <c r="A78" s="339">
        <v>12</v>
      </c>
      <c r="B78" s="340" t="s">
        <v>58</v>
      </c>
      <c r="C78" s="341">
        <f>+C74</f>
        <v>45213706</v>
      </c>
      <c r="D78" s="341">
        <f>+D74</f>
        <v>43903244</v>
      </c>
      <c r="E78" s="341">
        <f>+E74</f>
        <v>40934929</v>
      </c>
    </row>
    <row r="79" spans="1:5" ht="24" customHeight="1" x14ac:dyDescent="0.2">
      <c r="A79" s="339">
        <v>13</v>
      </c>
      <c r="B79" s="340" t="s">
        <v>67</v>
      </c>
      <c r="C79" s="341">
        <f>+C32</f>
        <v>-11497423</v>
      </c>
      <c r="D79" s="341">
        <f>+D32</f>
        <v>-24078995</v>
      </c>
      <c r="E79" s="341">
        <f>+E32</f>
        <v>-25104645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33716283</v>
      </c>
      <c r="D80" s="341">
        <f>+D78+D79</f>
        <v>19824249</v>
      </c>
      <c r="E80" s="341">
        <f>+E78+E79</f>
        <v>15830284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75" bottom="0.75" header="0.3" footer="0.3"/>
  <pageSetup scale="78" fitToHeight="0" orientation="portrait" r:id="rId1"/>
  <headerFooter>
    <oddHeader>_x000D_
                &amp;L&amp;8OFFICE OF HEALTH CARE ACCESS&amp;C&amp;8TWELVE MONTHS ACTUAL FILING&amp;R&amp;8GRIFFIN HEALTH SERVICES CORPORATION</oddHeader>
    <oddFooter>&amp;L&amp;8REPORT 385&amp;C&amp;8PAGE &amp;P of &amp;N&amp;R&amp;8&amp;D, &amp;8&amp;T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9" zoomScale="75" zoomScaleSheetLayoutView="75" workbookViewId="0">
      <selection activeCell="B40" sqref="B40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21449</v>
      </c>
      <c r="D11" s="376">
        <v>5780</v>
      </c>
      <c r="E11" s="376">
        <v>5503</v>
      </c>
      <c r="F11" s="377">
        <v>59</v>
      </c>
      <c r="G11" s="377">
        <v>118</v>
      </c>
      <c r="H11" s="378">
        <f>IF(F11=0,0,$C11/(F11*365))</f>
        <v>0.99600650104481081</v>
      </c>
      <c r="I11" s="378">
        <f>IF(G11=0,0,$C11/(G11*365))</f>
        <v>0.49800325052240541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2766</v>
      </c>
      <c r="D13" s="376">
        <v>277</v>
      </c>
      <c r="E13" s="376">
        <v>0</v>
      </c>
      <c r="F13" s="377">
        <v>8</v>
      </c>
      <c r="G13" s="377">
        <v>14</v>
      </c>
      <c r="H13" s="378">
        <f>IF(F13=0,0,$C13/(F13*365))</f>
        <v>0.94726027397260271</v>
      </c>
      <c r="I13" s="378">
        <f>IF(G13=0,0,$C13/(G13*365))</f>
        <v>0.54129158512720155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4603</v>
      </c>
      <c r="D16" s="376">
        <v>596</v>
      </c>
      <c r="E16" s="376">
        <v>596</v>
      </c>
      <c r="F16" s="377">
        <v>13</v>
      </c>
      <c r="G16" s="377">
        <v>16</v>
      </c>
      <c r="H16" s="378">
        <f t="shared" si="0"/>
        <v>0.97007376185458383</v>
      </c>
      <c r="I16" s="378">
        <f t="shared" si="0"/>
        <v>0.78818493150684932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4603</v>
      </c>
      <c r="D17" s="381">
        <f>SUM(D15:D16)</f>
        <v>596</v>
      </c>
      <c r="E17" s="381">
        <f>SUM(E15:E16)</f>
        <v>596</v>
      </c>
      <c r="F17" s="381">
        <f>SUM(F15:F16)</f>
        <v>13</v>
      </c>
      <c r="G17" s="381">
        <f>SUM(G15:G16)</f>
        <v>16</v>
      </c>
      <c r="H17" s="382">
        <f t="shared" si="0"/>
        <v>0.97007376185458383</v>
      </c>
      <c r="I17" s="382">
        <f t="shared" si="0"/>
        <v>0.78818493150684932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1555</v>
      </c>
      <c r="D21" s="376">
        <v>623</v>
      </c>
      <c r="E21" s="376">
        <v>623</v>
      </c>
      <c r="F21" s="377">
        <v>5</v>
      </c>
      <c r="G21" s="377">
        <v>12</v>
      </c>
      <c r="H21" s="378">
        <f>IF(F21=0,0,$C21/(F21*365))</f>
        <v>0.852054794520548</v>
      </c>
      <c r="I21" s="378">
        <f>IF(G21=0,0,$C21/(G21*365))</f>
        <v>0.3550228310502283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1359</v>
      </c>
      <c r="D23" s="376">
        <v>598</v>
      </c>
      <c r="E23" s="376">
        <v>598</v>
      </c>
      <c r="F23" s="377">
        <v>4</v>
      </c>
      <c r="G23" s="377">
        <v>20</v>
      </c>
      <c r="H23" s="378">
        <f>IF(F23=0,0,$C23/(F23*365))</f>
        <v>0.93082191780821921</v>
      </c>
      <c r="I23" s="378">
        <f>IF(G23=0,0,$C23/(G23*365))</f>
        <v>0.18616438356164383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30373</v>
      </c>
      <c r="D31" s="384">
        <f>SUM(D10:D29)-D13-D17-D23</f>
        <v>6999</v>
      </c>
      <c r="E31" s="384">
        <f>SUM(E10:E29)-E17-E23</f>
        <v>6722</v>
      </c>
      <c r="F31" s="384">
        <f>SUM(F10:F29)-F17-F23</f>
        <v>85</v>
      </c>
      <c r="G31" s="384">
        <f>SUM(G10:G29)-G17-G23</f>
        <v>160</v>
      </c>
      <c r="H31" s="385">
        <f>IF(F31=0,0,$C31/(F31*365))</f>
        <v>0.97898468976631747</v>
      </c>
      <c r="I31" s="385">
        <f>IF(G31=0,0,$C31/(G31*365))</f>
        <v>0.52008561643835616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31732</v>
      </c>
      <c r="D33" s="384">
        <f>SUM(D10:D29)-D13-D17</f>
        <v>7597</v>
      </c>
      <c r="E33" s="384">
        <f>SUM(E10:E29)-E17</f>
        <v>7320</v>
      </c>
      <c r="F33" s="384">
        <f>SUM(F10:F29)-F17</f>
        <v>89</v>
      </c>
      <c r="G33" s="384">
        <f>SUM(G10:G29)-G17</f>
        <v>180</v>
      </c>
      <c r="H33" s="385">
        <f>IF(F33=0,0,$C33/(F33*365))</f>
        <v>0.97682007080190858</v>
      </c>
      <c r="I33" s="385">
        <f>IF(G33=0,0,$C33/(G33*365))</f>
        <v>0.4829832572298326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31732</v>
      </c>
      <c r="D36" s="384">
        <f t="shared" si="1"/>
        <v>7597</v>
      </c>
      <c r="E36" s="384">
        <f t="shared" si="1"/>
        <v>7320</v>
      </c>
      <c r="F36" s="384">
        <f t="shared" si="1"/>
        <v>89</v>
      </c>
      <c r="G36" s="384">
        <f t="shared" si="1"/>
        <v>180</v>
      </c>
      <c r="H36" s="387">
        <f t="shared" si="1"/>
        <v>0.97682007080190858</v>
      </c>
      <c r="I36" s="387">
        <f t="shared" si="1"/>
        <v>0.4829832572298326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30594</v>
      </c>
      <c r="D37" s="384">
        <v>6950</v>
      </c>
      <c r="E37" s="384">
        <v>6684</v>
      </c>
      <c r="F37" s="386">
        <v>86</v>
      </c>
      <c r="G37" s="386">
        <v>180</v>
      </c>
      <c r="H37" s="385">
        <f>IF(F37=0,0,$C37/(F37*365))</f>
        <v>0.97464160560688118</v>
      </c>
      <c r="I37" s="385">
        <f>IF(G37=0,0,$C37/(G37*365))</f>
        <v>0.46566210045662099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1138</v>
      </c>
      <c r="D38" s="384">
        <f t="shared" si="2"/>
        <v>647</v>
      </c>
      <c r="E38" s="384">
        <f t="shared" si="2"/>
        <v>636</v>
      </c>
      <c r="F38" s="384">
        <f t="shared" si="2"/>
        <v>3</v>
      </c>
      <c r="G38" s="384">
        <f t="shared" si="2"/>
        <v>0</v>
      </c>
      <c r="H38" s="387">
        <f t="shared" si="2"/>
        <v>2.1784651950274014E-3</v>
      </c>
      <c r="I38" s="387">
        <f t="shared" si="2"/>
        <v>1.732115677321161E-2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3.7196835980911287E-2</v>
      </c>
      <c r="D40" s="389">
        <f t="shared" si="3"/>
        <v>9.3093525179856113E-2</v>
      </c>
      <c r="E40" s="389">
        <f t="shared" si="3"/>
        <v>9.515260323159784E-2</v>
      </c>
      <c r="F40" s="389">
        <f t="shared" si="3"/>
        <v>3.4883720930232558E-2</v>
      </c>
      <c r="G40" s="389">
        <f t="shared" si="3"/>
        <v>0</v>
      </c>
      <c r="H40" s="389">
        <f t="shared" si="3"/>
        <v>2.2351448804311344E-3</v>
      </c>
      <c r="I40" s="389">
        <f t="shared" si="3"/>
        <v>3.7196835980911384E-2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180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25" right="0.25" top="0.75" bottom="0.75" header="0.3" footer="0.3"/>
  <pageSetup scale="68" orientation="landscape" r:id="rId1"/>
  <headerFooter>
    <oddHeader>&amp;LOFFICE OF HEALTH CARE ACCESS&amp;CTWELVE MONTHS ACTUAL FILING&amp;RGRIFFIN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4679</v>
      </c>
      <c r="D12" s="409">
        <v>4733</v>
      </c>
      <c r="E12" s="409">
        <f>+D12-C12</f>
        <v>54</v>
      </c>
      <c r="F12" s="410">
        <f>IF(C12=0,0,+E12/C12)</f>
        <v>1.15409275486215E-2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9121</v>
      </c>
      <c r="D13" s="409">
        <v>8846</v>
      </c>
      <c r="E13" s="409">
        <f>+D13-C13</f>
        <v>-275</v>
      </c>
      <c r="F13" s="410">
        <f>IF(C13=0,0,+E13/C13)</f>
        <v>-3.0150202828637212E-2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6305</v>
      </c>
      <c r="D14" s="409">
        <v>6568</v>
      </c>
      <c r="E14" s="409">
        <f>+D14-C14</f>
        <v>263</v>
      </c>
      <c r="F14" s="410">
        <f>IF(C14=0,0,+E14/C14)</f>
        <v>4.1712926249008721E-2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20105</v>
      </c>
      <c r="D16" s="401">
        <f>SUM(D12:D15)</f>
        <v>20147</v>
      </c>
      <c r="E16" s="401">
        <f>+D16-C16</f>
        <v>42</v>
      </c>
      <c r="F16" s="402">
        <f>IF(C16=0,0,+E16/C16)</f>
        <v>2.0890325789604575E-3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442</v>
      </c>
      <c r="D19" s="409">
        <v>518</v>
      </c>
      <c r="E19" s="409">
        <f>+D19-C19</f>
        <v>76</v>
      </c>
      <c r="F19" s="410">
        <f>IF(C19=0,0,+E19/C19)</f>
        <v>0.17194570135746606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3756</v>
      </c>
      <c r="D20" s="409">
        <v>3473</v>
      </c>
      <c r="E20" s="409">
        <f>+D20-C20</f>
        <v>-283</v>
      </c>
      <c r="F20" s="410">
        <f>IF(C20=0,0,+E20/C20)</f>
        <v>-7.5346112886048991E-2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43</v>
      </c>
      <c r="D21" s="409">
        <v>55</v>
      </c>
      <c r="E21" s="409">
        <f>+D21-C21</f>
        <v>12</v>
      </c>
      <c r="F21" s="410">
        <f>IF(C21=0,0,+E21/C21)</f>
        <v>0.27906976744186046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4241</v>
      </c>
      <c r="D23" s="401">
        <f>SUM(D19:D22)</f>
        <v>4046</v>
      </c>
      <c r="E23" s="401">
        <f>+D23-C23</f>
        <v>-195</v>
      </c>
      <c r="F23" s="402">
        <f>IF(C23=0,0,+E23/C23)</f>
        <v>-4.5979721763734965E-2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189</v>
      </c>
      <c r="D27" s="409">
        <v>228</v>
      </c>
      <c r="E27" s="409">
        <f>+D27-C27</f>
        <v>39</v>
      </c>
      <c r="F27" s="410">
        <f>IF(C27=0,0,+E27/C27)</f>
        <v>0.20634920634920634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189</v>
      </c>
      <c r="D30" s="401">
        <f>SUM(D26:D29)</f>
        <v>228</v>
      </c>
      <c r="E30" s="401">
        <f>+D30-C30</f>
        <v>39</v>
      </c>
      <c r="F30" s="402">
        <f>IF(C30=0,0,+E30/C30)</f>
        <v>0.20634920634920634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78</v>
      </c>
      <c r="D43" s="409">
        <v>77</v>
      </c>
      <c r="E43" s="409">
        <f>+D43-C43</f>
        <v>-1</v>
      </c>
      <c r="F43" s="410">
        <f>IF(C43=0,0,+E43/C43)</f>
        <v>-1.282051282051282E-2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4423</v>
      </c>
      <c r="D44" s="409">
        <v>5815</v>
      </c>
      <c r="E44" s="409">
        <f>+D44-C44</f>
        <v>1392</v>
      </c>
      <c r="F44" s="410">
        <f>IF(C44=0,0,+E44/C44)</f>
        <v>0.31471851684377122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4501</v>
      </c>
      <c r="D45" s="401">
        <f>SUM(D43:D44)</f>
        <v>5892</v>
      </c>
      <c r="E45" s="401">
        <f>+D45-C45</f>
        <v>1391</v>
      </c>
      <c r="F45" s="402">
        <f>IF(C45=0,0,+E45/C45)</f>
        <v>0.30904243501444123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1409</v>
      </c>
      <c r="D63" s="409">
        <v>1692</v>
      </c>
      <c r="E63" s="409">
        <f>+D63-C63</f>
        <v>283</v>
      </c>
      <c r="F63" s="410">
        <f>IF(C63=0,0,+E63/C63)</f>
        <v>0.20085166784953867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3422</v>
      </c>
      <c r="D64" s="409">
        <v>3230</v>
      </c>
      <c r="E64" s="409">
        <f>+D64-C64</f>
        <v>-192</v>
      </c>
      <c r="F64" s="410">
        <f>IF(C64=0,0,+E64/C64)</f>
        <v>-5.6107539450613676E-2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4831</v>
      </c>
      <c r="D65" s="401">
        <f>SUM(D63:D64)</f>
        <v>4922</v>
      </c>
      <c r="E65" s="401">
        <f>+D65-C65</f>
        <v>91</v>
      </c>
      <c r="F65" s="402">
        <f>IF(C65=0,0,+E65/C65)</f>
        <v>1.88366797764438E-2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363</v>
      </c>
      <c r="D68" s="409">
        <v>311</v>
      </c>
      <c r="E68" s="409">
        <f>+D68-C68</f>
        <v>-52</v>
      </c>
      <c r="F68" s="410">
        <f>IF(C68=0,0,+E68/C68)</f>
        <v>-0.14325068870523416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3353</v>
      </c>
      <c r="D69" s="409">
        <v>3816</v>
      </c>
      <c r="E69" s="409">
        <f>+D69-C69</f>
        <v>463</v>
      </c>
      <c r="F69" s="412">
        <f>IF(C69=0,0,+E69/C69)</f>
        <v>0.13808529674917983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3716</v>
      </c>
      <c r="D70" s="401">
        <f>SUM(D68:D69)</f>
        <v>4127</v>
      </c>
      <c r="E70" s="401">
        <f>+D70-C70</f>
        <v>411</v>
      </c>
      <c r="F70" s="402">
        <f>IF(C70=0,0,+E70/C70)</f>
        <v>0.11060279870828849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5022</v>
      </c>
      <c r="D73" s="376">
        <v>5200</v>
      </c>
      <c r="E73" s="409">
        <f>+D73-C73</f>
        <v>178</v>
      </c>
      <c r="F73" s="410">
        <f>IF(C73=0,0,+E73/C73)</f>
        <v>3.5444046196734372E-2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32181</v>
      </c>
      <c r="D74" s="376">
        <v>32340</v>
      </c>
      <c r="E74" s="409">
        <f>+D74-C74</f>
        <v>159</v>
      </c>
      <c r="F74" s="410">
        <f>IF(C74=0,0,+E74/C74)</f>
        <v>4.9408035797520273E-3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37203</v>
      </c>
      <c r="D75" s="401">
        <f>SUM(D73:D74)</f>
        <v>37540</v>
      </c>
      <c r="E75" s="401">
        <f>SUM(E73:E74)</f>
        <v>337</v>
      </c>
      <c r="F75" s="402">
        <f>IF(C75=0,0,+E75/C75)</f>
        <v>9.0584092680697798E-3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4807</v>
      </c>
      <c r="D79" s="376">
        <v>4121</v>
      </c>
      <c r="E79" s="409">
        <f t="shared" ref="E79:E92" si="0">+D79-C79</f>
        <v>-686</v>
      </c>
      <c r="F79" s="410">
        <f t="shared" ref="F79:F92" si="1">IF(C79=0,0,+E79/C79)</f>
        <v>-0.1427085500312045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6663</v>
      </c>
      <c r="D81" s="376">
        <v>8098</v>
      </c>
      <c r="E81" s="409">
        <f t="shared" si="0"/>
        <v>1435</v>
      </c>
      <c r="F81" s="410">
        <f t="shared" si="1"/>
        <v>0.21536845264895693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415</v>
      </c>
      <c r="D86" s="376">
        <v>465</v>
      </c>
      <c r="E86" s="409">
        <f t="shared" si="0"/>
        <v>50</v>
      </c>
      <c r="F86" s="410">
        <f t="shared" si="1"/>
        <v>0.12048192771084337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3403</v>
      </c>
      <c r="D91" s="376">
        <v>4226</v>
      </c>
      <c r="E91" s="409">
        <f t="shared" si="0"/>
        <v>823</v>
      </c>
      <c r="F91" s="410">
        <f t="shared" si="1"/>
        <v>0.24184543050249779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15288</v>
      </c>
      <c r="D92" s="381">
        <f>SUM(D79:D91)</f>
        <v>16910</v>
      </c>
      <c r="E92" s="401">
        <f t="shared" si="0"/>
        <v>1622</v>
      </c>
      <c r="F92" s="402">
        <f t="shared" si="1"/>
        <v>0.10609628466771324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17450</v>
      </c>
      <c r="D95" s="414">
        <v>16906</v>
      </c>
      <c r="E95" s="415">
        <f t="shared" ref="E95:E100" si="2">+D95-C95</f>
        <v>-544</v>
      </c>
      <c r="F95" s="412">
        <f t="shared" ref="F95:F100" si="3">IF(C95=0,0,+E95/C95)</f>
        <v>-3.1174785100286533E-2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3965</v>
      </c>
      <c r="D96" s="414">
        <v>4680</v>
      </c>
      <c r="E96" s="409">
        <f t="shared" si="2"/>
        <v>715</v>
      </c>
      <c r="F96" s="410">
        <f t="shared" si="3"/>
        <v>0.18032786885245902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1480</v>
      </c>
      <c r="D97" s="414">
        <v>1451</v>
      </c>
      <c r="E97" s="409">
        <f t="shared" si="2"/>
        <v>-29</v>
      </c>
      <c r="F97" s="410">
        <f t="shared" si="3"/>
        <v>-1.9594594594594596E-2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3353</v>
      </c>
      <c r="D98" s="414">
        <v>3816</v>
      </c>
      <c r="E98" s="409">
        <f t="shared" si="2"/>
        <v>463</v>
      </c>
      <c r="F98" s="410">
        <f t="shared" si="3"/>
        <v>0.13808529674917983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56735</v>
      </c>
      <c r="D99" s="414">
        <v>66273</v>
      </c>
      <c r="E99" s="409">
        <f t="shared" si="2"/>
        <v>9538</v>
      </c>
      <c r="F99" s="410">
        <f t="shared" si="3"/>
        <v>0.1681149202432361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82983</v>
      </c>
      <c r="D100" s="381">
        <f>SUM(D95:D99)</f>
        <v>93126</v>
      </c>
      <c r="E100" s="401">
        <f t="shared" si="2"/>
        <v>10143</v>
      </c>
      <c r="F100" s="402">
        <f t="shared" si="3"/>
        <v>0.12222985430750877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319.8</v>
      </c>
      <c r="D104" s="416">
        <v>332.4</v>
      </c>
      <c r="E104" s="417">
        <f>+D104-C104</f>
        <v>12.599999999999966</v>
      </c>
      <c r="F104" s="410">
        <f>IF(C104=0,0,+E104/C104)</f>
        <v>3.9399624765478314E-2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46.6</v>
      </c>
      <c r="D105" s="416">
        <v>46.6</v>
      </c>
      <c r="E105" s="417">
        <f>+D105-C105</f>
        <v>0</v>
      </c>
      <c r="F105" s="410">
        <f>IF(C105=0,0,+E105/C105)</f>
        <v>0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602.1</v>
      </c>
      <c r="D106" s="416">
        <v>604</v>
      </c>
      <c r="E106" s="417">
        <f>+D106-C106</f>
        <v>1.8999999999999773</v>
      </c>
      <c r="F106" s="410">
        <f>IF(C106=0,0,+E106/C106)</f>
        <v>3.1556219897026692E-3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968.5</v>
      </c>
      <c r="D107" s="418">
        <f>SUM(D104:D106)</f>
        <v>983</v>
      </c>
      <c r="E107" s="418">
        <f>+D107-C107</f>
        <v>14.5</v>
      </c>
      <c r="F107" s="402">
        <f>IF(C107=0,0,+E107/C107)</f>
        <v>1.4971605575632421E-2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75" bottom="0.75" header="0.3" footer="0.3"/>
  <pageSetup scale="74" fitToHeight="0" orientation="portrait" r:id="rId1"/>
  <headerFooter>
    <oddHeader>&amp;LOFFICE OF HEALTH CARE ACCESS&amp;CTWELVE MONTHS ACTUAL FILING&amp;RGRIFFIN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0</v>
      </c>
      <c r="C12" s="409">
        <v>3422</v>
      </c>
      <c r="D12" s="409">
        <v>3230</v>
      </c>
      <c r="E12" s="409">
        <f>+D12-C12</f>
        <v>-192</v>
      </c>
      <c r="F12" s="410">
        <f>IF(C12=0,0,+E12/C12)</f>
        <v>-5.6107539450613676E-2</v>
      </c>
    </row>
    <row r="13" spans="1:6" ht="15.75" customHeight="1" x14ac:dyDescent="0.25">
      <c r="A13" s="374"/>
      <c r="B13" s="399" t="s">
        <v>621</v>
      </c>
      <c r="C13" s="401">
        <f>SUM(C11:C12)</f>
        <v>3422</v>
      </c>
      <c r="D13" s="401">
        <f>SUM(D11:D12)</f>
        <v>3230</v>
      </c>
      <c r="E13" s="401">
        <f>+D13-C13</f>
        <v>-192</v>
      </c>
      <c r="F13" s="402">
        <f>IF(C13=0,0,+E13/C13)</f>
        <v>-5.6107539450613676E-2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0</v>
      </c>
      <c r="C16" s="409">
        <v>3353</v>
      </c>
      <c r="D16" s="409">
        <v>3816</v>
      </c>
      <c r="E16" s="409">
        <f>+D16-C16</f>
        <v>463</v>
      </c>
      <c r="F16" s="410">
        <f>IF(C16=0,0,+E16/C16)</f>
        <v>0.13808529674917983</v>
      </c>
    </row>
    <row r="17" spans="1:6" ht="15.75" customHeight="1" x14ac:dyDescent="0.25">
      <c r="A17" s="374"/>
      <c r="B17" s="399" t="s">
        <v>622</v>
      </c>
      <c r="C17" s="401">
        <f>SUM(C15:C16)</f>
        <v>3353</v>
      </c>
      <c r="D17" s="401">
        <f>SUM(D15:D16)</f>
        <v>3816</v>
      </c>
      <c r="E17" s="401">
        <f>+D17-C17</f>
        <v>463</v>
      </c>
      <c r="F17" s="402">
        <f>IF(C17=0,0,+E17/C17)</f>
        <v>0.13808529674917983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623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0</v>
      </c>
      <c r="C20" s="409">
        <v>32181</v>
      </c>
      <c r="D20" s="409">
        <v>32340</v>
      </c>
      <c r="E20" s="409">
        <f>+D20-C20</f>
        <v>159</v>
      </c>
      <c r="F20" s="410">
        <f>IF(C20=0,0,+E20/C20)</f>
        <v>4.9408035797520273E-3</v>
      </c>
    </row>
    <row r="21" spans="1:6" ht="15.75" customHeight="1" x14ac:dyDescent="0.25">
      <c r="A21" s="374"/>
      <c r="B21" s="399" t="s">
        <v>624</v>
      </c>
      <c r="C21" s="401">
        <f>SUM(C19:C20)</f>
        <v>32181</v>
      </c>
      <c r="D21" s="401">
        <f>SUM(D19:D20)</f>
        <v>32340</v>
      </c>
      <c r="E21" s="401">
        <f>+D21-C21</f>
        <v>159</v>
      </c>
      <c r="F21" s="402">
        <f>IF(C21=0,0,+E21/C21)</f>
        <v>4.9408035797520273E-3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0" t="s">
        <v>625</v>
      </c>
      <c r="C23" s="811"/>
      <c r="D23" s="811"/>
      <c r="E23" s="811"/>
      <c r="F23" s="812"/>
    </row>
    <row r="24" spans="1:6" ht="15.75" customHeight="1" x14ac:dyDescent="0.25">
      <c r="A24" s="392"/>
    </row>
    <row r="25" spans="1:6" ht="15.75" customHeight="1" x14ac:dyDescent="0.25">
      <c r="B25" s="810" t="s">
        <v>626</v>
      </c>
      <c r="C25" s="811"/>
      <c r="D25" s="811"/>
      <c r="E25" s="811"/>
      <c r="F25" s="812"/>
    </row>
    <row r="26" spans="1:6" ht="15.75" customHeight="1" x14ac:dyDescent="0.25">
      <c r="A26" s="392"/>
    </row>
    <row r="27" spans="1:6" ht="15.75" customHeight="1" x14ac:dyDescent="0.25">
      <c r="B27" s="810" t="s">
        <v>627</v>
      </c>
      <c r="C27" s="811"/>
      <c r="D27" s="811"/>
      <c r="E27" s="811"/>
      <c r="F27" s="812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75" bottom="0.75" header="0.3" footer="0.3"/>
  <pageSetup scale="82" fitToHeight="0" orientation="portrait" r:id="rId1"/>
  <headerFooter>
    <oddHeader>&amp;LOFFICE OF HEALTH CARE ACCESS&amp;CTWELVE MONTHS ACTUAL FILING&amp;RGRIFFIN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15" zoomScale="85" zoomScaleSheetLayoutView="80" workbookViewId="0">
      <selection activeCell="B39" sqref="B3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628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629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630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631</v>
      </c>
      <c r="D7" s="426" t="s">
        <v>631</v>
      </c>
      <c r="E7" s="426" t="s">
        <v>632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633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634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635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636</v>
      </c>
      <c r="C15" s="448">
        <v>122178231</v>
      </c>
      <c r="D15" s="448">
        <v>133443109</v>
      </c>
      <c r="E15" s="448">
        <f t="shared" ref="E15:E24" si="0">D15-C15</f>
        <v>11264878</v>
      </c>
      <c r="F15" s="449">
        <f t="shared" ref="F15:F24" si="1">IF(C15=0,0,E15/C15)</f>
        <v>9.22003691475939E-2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637</v>
      </c>
      <c r="C16" s="448">
        <v>34829776</v>
      </c>
      <c r="D16" s="448">
        <v>41480429</v>
      </c>
      <c r="E16" s="448">
        <f t="shared" si="0"/>
        <v>6650653</v>
      </c>
      <c r="F16" s="449">
        <f t="shared" si="1"/>
        <v>0.19094733770323416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638</v>
      </c>
      <c r="C17" s="453">
        <f>IF(C15=0,0,C16/C15)</f>
        <v>0.28507350053218566</v>
      </c>
      <c r="D17" s="453">
        <f>IF(LN_IA1=0,0,LN_IA2/LN_IA1)</f>
        <v>0.31084729148509271</v>
      </c>
      <c r="E17" s="454">
        <f t="shared" si="0"/>
        <v>2.577379095290705E-2</v>
      </c>
      <c r="F17" s="449">
        <f t="shared" si="1"/>
        <v>9.0411037521171175E-2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3387</v>
      </c>
      <c r="D18" s="456">
        <v>3582</v>
      </c>
      <c r="E18" s="456">
        <f t="shared" si="0"/>
        <v>195</v>
      </c>
      <c r="F18" s="449">
        <f t="shared" si="1"/>
        <v>5.7573073516386179E-2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639</v>
      </c>
      <c r="C19" s="459">
        <v>1.30745</v>
      </c>
      <c r="D19" s="459">
        <v>1.38</v>
      </c>
      <c r="E19" s="460">
        <f t="shared" si="0"/>
        <v>7.2549999999999892E-2</v>
      </c>
      <c r="F19" s="449">
        <f t="shared" si="1"/>
        <v>5.5489693678534471E-2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640</v>
      </c>
      <c r="C20" s="463">
        <f>C18*C19</f>
        <v>4428.3331500000004</v>
      </c>
      <c r="D20" s="463">
        <f>LN_IA4*LN_IA5</f>
        <v>4943.16</v>
      </c>
      <c r="E20" s="463">
        <f t="shared" si="0"/>
        <v>514.82684999999947</v>
      </c>
      <c r="F20" s="449">
        <f t="shared" si="1"/>
        <v>0.11625747940847662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641</v>
      </c>
      <c r="C21" s="465">
        <f>IF(C20=0,0,C16/C20)</f>
        <v>7865.2113154585031</v>
      </c>
      <c r="D21" s="465">
        <f>IF(LN_IA6=0,0,LN_IA2/LN_IA6)</f>
        <v>8391.4801463031745</v>
      </c>
      <c r="E21" s="465">
        <f t="shared" si="0"/>
        <v>526.26883084467136</v>
      </c>
      <c r="F21" s="449">
        <f t="shared" si="1"/>
        <v>6.6910958871547174E-2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16588</v>
      </c>
      <c r="D22" s="456">
        <v>17056</v>
      </c>
      <c r="E22" s="456">
        <f t="shared" si="0"/>
        <v>468</v>
      </c>
      <c r="F22" s="449">
        <f t="shared" si="1"/>
        <v>2.8213166144200628E-2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642</v>
      </c>
      <c r="C23" s="465">
        <f>IF(C22=0,0,C16/C22)</f>
        <v>2099.697130455751</v>
      </c>
      <c r="D23" s="465">
        <f>IF(LN_IA8=0,0,LN_IA2/LN_IA8)</f>
        <v>2432.0138954033773</v>
      </c>
      <c r="E23" s="465">
        <f t="shared" si="0"/>
        <v>332.31676494762633</v>
      </c>
      <c r="F23" s="449">
        <f t="shared" si="1"/>
        <v>0.15826890465649926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643</v>
      </c>
      <c r="C24" s="466">
        <f>IF(C18=0,0,C22/C18)</f>
        <v>4.8975494537939177</v>
      </c>
      <c r="D24" s="466">
        <f>IF(LN_IA4=0,0,LN_IA8/LN_IA4)</f>
        <v>4.7615857063093241</v>
      </c>
      <c r="E24" s="466">
        <f t="shared" si="0"/>
        <v>-0.13596374748459361</v>
      </c>
      <c r="F24" s="449">
        <f t="shared" si="1"/>
        <v>-2.7761587456614334E-2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644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645</v>
      </c>
      <c r="C27" s="448">
        <v>104874412</v>
      </c>
      <c r="D27" s="448">
        <v>107113488</v>
      </c>
      <c r="E27" s="448">
        <f t="shared" ref="E27:E32" si="2">D27-C27</f>
        <v>2239076</v>
      </c>
      <c r="F27" s="449">
        <f t="shared" ref="F27:F32" si="3">IF(C27=0,0,E27/C27)</f>
        <v>2.1350069643298691E-2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646</v>
      </c>
      <c r="C28" s="448">
        <v>20243295</v>
      </c>
      <c r="D28" s="448">
        <v>20622307</v>
      </c>
      <c r="E28" s="448">
        <f t="shared" si="2"/>
        <v>379012</v>
      </c>
      <c r="F28" s="449">
        <f t="shared" si="3"/>
        <v>1.8722841316099973E-2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647</v>
      </c>
      <c r="C29" s="453">
        <f>IF(C27=0,0,C28/C27)</f>
        <v>0.19302415731303457</v>
      </c>
      <c r="D29" s="453">
        <f>IF(LN_IA11=0,0,LN_IA12/LN_IA11)</f>
        <v>0.19252763946964363</v>
      </c>
      <c r="E29" s="454">
        <f t="shared" si="2"/>
        <v>-4.9651784339094229E-4</v>
      </c>
      <c r="F29" s="449">
        <f t="shared" si="3"/>
        <v>-2.5723093435694711E-3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648</v>
      </c>
      <c r="C30" s="453">
        <f>IF(C15=0,0,C27/C15)</f>
        <v>0.85837232329873892</v>
      </c>
      <c r="D30" s="453">
        <f>IF(LN_IA1=0,0,LN_IA11/LN_IA1)</f>
        <v>0.80269029103630973</v>
      </c>
      <c r="E30" s="454">
        <f t="shared" si="2"/>
        <v>-5.5682032262429182E-2</v>
      </c>
      <c r="F30" s="449">
        <f t="shared" si="3"/>
        <v>-6.4869323894836475E-2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649</v>
      </c>
      <c r="C31" s="463">
        <f>C30*C18</f>
        <v>2907.3070590128286</v>
      </c>
      <c r="D31" s="463">
        <f>LN_IA14*LN_IA4</f>
        <v>2875.2366224920615</v>
      </c>
      <c r="E31" s="463">
        <f t="shared" si="2"/>
        <v>-32.070436520767089</v>
      </c>
      <c r="F31" s="449">
        <f t="shared" si="3"/>
        <v>-1.1030976732005924E-2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650</v>
      </c>
      <c r="C32" s="465">
        <f>IF(C31=0,0,C28/C31)</f>
        <v>6962.9022972460216</v>
      </c>
      <c r="D32" s="465">
        <f>IF(LN_IA15=0,0,LN_IA12/LN_IA15)</f>
        <v>7172.3860355277375</v>
      </c>
      <c r="E32" s="465">
        <f t="shared" si="2"/>
        <v>209.48373828171589</v>
      </c>
      <c r="F32" s="449">
        <f t="shared" si="3"/>
        <v>3.0085692623400911E-2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651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652</v>
      </c>
      <c r="C35" s="448">
        <f>C15+C27</f>
        <v>227052643</v>
      </c>
      <c r="D35" s="448">
        <f>LN_IA1+LN_IA11</f>
        <v>240556597</v>
      </c>
      <c r="E35" s="448">
        <f>D35-C35</f>
        <v>13503954</v>
      </c>
      <c r="F35" s="449">
        <f>IF(C35=0,0,E35/C35)</f>
        <v>5.947499144504563E-2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653</v>
      </c>
      <c r="C36" s="448">
        <f>C16+C28</f>
        <v>55073071</v>
      </c>
      <c r="D36" s="448">
        <f>LN_IA2+LN_IA12</f>
        <v>62102736</v>
      </c>
      <c r="E36" s="448">
        <f>D36-C36</f>
        <v>7029665</v>
      </c>
      <c r="F36" s="449">
        <f>IF(C36=0,0,E36/C36)</f>
        <v>0.12764250971223304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654</v>
      </c>
      <c r="C37" s="448">
        <f>C35-C36</f>
        <v>171979572</v>
      </c>
      <c r="D37" s="448">
        <f>LN_IA17-LN_IA18</f>
        <v>178453861</v>
      </c>
      <c r="E37" s="448">
        <f>D37-C37</f>
        <v>6474289</v>
      </c>
      <c r="F37" s="449">
        <f>IF(C37=0,0,E37/C37)</f>
        <v>3.7645686198125902E-2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655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656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636</v>
      </c>
      <c r="C42" s="448">
        <v>53596231</v>
      </c>
      <c r="D42" s="448">
        <v>65261641</v>
      </c>
      <c r="E42" s="448">
        <f t="shared" ref="E42:E53" si="4">D42-C42</f>
        <v>11665410</v>
      </c>
      <c r="F42" s="449">
        <f t="shared" ref="F42:F53" si="5">IF(C42=0,0,E42/C42)</f>
        <v>0.21765355104914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637</v>
      </c>
      <c r="C43" s="448">
        <v>22145603</v>
      </c>
      <c r="D43" s="448">
        <v>27255230</v>
      </c>
      <c r="E43" s="448">
        <f t="shared" si="4"/>
        <v>5109627</v>
      </c>
      <c r="F43" s="449">
        <f t="shared" si="5"/>
        <v>0.23072873653519391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638</v>
      </c>
      <c r="C44" s="453">
        <f>IF(C42=0,0,C43/C42)</f>
        <v>0.41319328965501323</v>
      </c>
      <c r="D44" s="453">
        <f>IF(LN_IB1=0,0,LN_IB2/LN_IB1)</f>
        <v>0.41763016654760488</v>
      </c>
      <c r="E44" s="454">
        <f t="shared" si="4"/>
        <v>4.4368768925916457E-3</v>
      </c>
      <c r="F44" s="449">
        <f t="shared" si="5"/>
        <v>1.0738017784112902E-2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2030</v>
      </c>
      <c r="D45" s="456">
        <v>2367</v>
      </c>
      <c r="E45" s="456">
        <f t="shared" si="4"/>
        <v>337</v>
      </c>
      <c r="F45" s="449">
        <f t="shared" si="5"/>
        <v>0.16600985221674877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639</v>
      </c>
      <c r="C46" s="459">
        <v>1.0487</v>
      </c>
      <c r="D46" s="459">
        <v>1.1299999999999999</v>
      </c>
      <c r="E46" s="460">
        <f t="shared" si="4"/>
        <v>8.1299999999999928E-2</v>
      </c>
      <c r="F46" s="449">
        <f t="shared" si="5"/>
        <v>7.7524554209974186E-2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640</v>
      </c>
      <c r="C47" s="463">
        <f>C45*C46</f>
        <v>2128.8609999999999</v>
      </c>
      <c r="D47" s="463">
        <f>LN_IB4*LN_IB5</f>
        <v>2674.7099999999996</v>
      </c>
      <c r="E47" s="463">
        <f t="shared" si="4"/>
        <v>545.84899999999971</v>
      </c>
      <c r="F47" s="449">
        <f t="shared" si="5"/>
        <v>0.25640424621429003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641</v>
      </c>
      <c r="C48" s="465">
        <f>IF(C47=0,0,C43/C47)</f>
        <v>10402.559396785418</v>
      </c>
      <c r="D48" s="465">
        <f>IF(LN_IB6=0,0,LN_IB2/LN_IB6)</f>
        <v>10189.975735687234</v>
      </c>
      <c r="E48" s="465">
        <f t="shared" si="4"/>
        <v>-212.58366109818417</v>
      </c>
      <c r="F48" s="449">
        <f t="shared" si="5"/>
        <v>-2.0435707501355524E-2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657</v>
      </c>
      <c r="C49" s="465">
        <f>C21-C48</f>
        <v>-2537.3480813269152</v>
      </c>
      <c r="D49" s="465">
        <f>LN_IA7-LN_IB7</f>
        <v>-1798.4955893840597</v>
      </c>
      <c r="E49" s="465">
        <f t="shared" si="4"/>
        <v>738.85249194285552</v>
      </c>
      <c r="F49" s="449">
        <f t="shared" si="5"/>
        <v>-0.2911908292678827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658</v>
      </c>
      <c r="C50" s="479">
        <f>C49*C47</f>
        <v>-5401661.3737616977</v>
      </c>
      <c r="D50" s="479">
        <f>LN_IB8*LN_IB6</f>
        <v>-4810454.1378814373</v>
      </c>
      <c r="E50" s="479">
        <f t="shared" si="4"/>
        <v>591207.23588026036</v>
      </c>
      <c r="F50" s="449">
        <f t="shared" si="5"/>
        <v>-0.10944914813653818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7332</v>
      </c>
      <c r="D51" s="456">
        <v>7953</v>
      </c>
      <c r="E51" s="456">
        <f t="shared" si="4"/>
        <v>621</v>
      </c>
      <c r="F51" s="449">
        <f t="shared" si="5"/>
        <v>8.4697217675941086E-2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642</v>
      </c>
      <c r="C52" s="465">
        <f>IF(C51=0,0,C43/C51)</f>
        <v>3020.4041189307145</v>
      </c>
      <c r="D52" s="465">
        <f>IF(LN_IB10=0,0,LN_IB2/LN_IB10)</f>
        <v>3427.03759587577</v>
      </c>
      <c r="E52" s="465">
        <f t="shared" si="4"/>
        <v>406.63347694505546</v>
      </c>
      <c r="F52" s="449">
        <f t="shared" si="5"/>
        <v>0.1346288314190924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643</v>
      </c>
      <c r="C53" s="466">
        <f>IF(C45=0,0,C51/C45)</f>
        <v>3.6118226600985222</v>
      </c>
      <c r="D53" s="466">
        <f>IF(LN_IB4=0,0,LN_IB10/LN_IB4)</f>
        <v>3.3599493029150822</v>
      </c>
      <c r="E53" s="466">
        <f t="shared" si="4"/>
        <v>-0.25187335718343995</v>
      </c>
      <c r="F53" s="449">
        <f t="shared" si="5"/>
        <v>-6.9735804021056072E-2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659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645</v>
      </c>
      <c r="C56" s="448">
        <v>124009175</v>
      </c>
      <c r="D56" s="448">
        <v>130262861</v>
      </c>
      <c r="E56" s="448">
        <f t="shared" ref="E56:E63" si="6">D56-C56</f>
        <v>6253686</v>
      </c>
      <c r="F56" s="449">
        <f t="shared" ref="F56:F63" si="7">IF(C56=0,0,E56/C56)</f>
        <v>5.0429220257291449E-2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646</v>
      </c>
      <c r="C57" s="448">
        <v>46367895</v>
      </c>
      <c r="D57" s="448">
        <v>48900415</v>
      </c>
      <c r="E57" s="448">
        <f t="shared" si="6"/>
        <v>2532520</v>
      </c>
      <c r="F57" s="449">
        <f t="shared" si="7"/>
        <v>5.4617963571561748E-2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647</v>
      </c>
      <c r="C58" s="453">
        <f>IF(C56=0,0,C57/C56)</f>
        <v>0.37390697099629927</v>
      </c>
      <c r="D58" s="453">
        <f>IF(LN_IB13=0,0,LN_IB14/LN_IB13)</f>
        <v>0.37539798085656972</v>
      </c>
      <c r="E58" s="454">
        <f t="shared" si="6"/>
        <v>1.4910098602704536E-3</v>
      </c>
      <c r="F58" s="449">
        <f t="shared" si="7"/>
        <v>3.9876492708802985E-3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648</v>
      </c>
      <c r="C59" s="453">
        <f>IF(C42=0,0,C56/C42)</f>
        <v>2.3137667087075582</v>
      </c>
      <c r="D59" s="453">
        <f>IF(LN_IB1=0,0,LN_IB13/LN_IB1)</f>
        <v>1.9960095854776314</v>
      </c>
      <c r="E59" s="454">
        <f t="shared" si="6"/>
        <v>-0.31775712322992677</v>
      </c>
      <c r="F59" s="449">
        <f t="shared" si="7"/>
        <v>-0.137333259240912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649</v>
      </c>
      <c r="C60" s="463">
        <f>C59*C45</f>
        <v>4696.9464186763435</v>
      </c>
      <c r="D60" s="463">
        <f>LN_IB16*LN_IB4</f>
        <v>4724.554688825554</v>
      </c>
      <c r="E60" s="463">
        <f t="shared" si="6"/>
        <v>27.608270149210512</v>
      </c>
      <c r="F60" s="449">
        <f t="shared" si="7"/>
        <v>5.8779189048085538E-3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650</v>
      </c>
      <c r="C61" s="465">
        <f>IF(C60=0,0,C57/C60)</f>
        <v>9871.9233448413561</v>
      </c>
      <c r="D61" s="465">
        <f>IF(LN_IB17=0,0,LN_IB14/LN_IB17)</f>
        <v>10350.269648832415</v>
      </c>
      <c r="E61" s="465">
        <f t="shared" si="6"/>
        <v>478.34630399105845</v>
      </c>
      <c r="F61" s="449">
        <f t="shared" si="7"/>
        <v>4.8455228761578838E-2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660</v>
      </c>
      <c r="C62" s="465">
        <f>C32-C61</f>
        <v>-2909.0210475953345</v>
      </c>
      <c r="D62" s="465">
        <f>LN_IA16-LN_IB18</f>
        <v>-3177.8836133046771</v>
      </c>
      <c r="E62" s="465">
        <f t="shared" si="6"/>
        <v>-268.86256570934256</v>
      </c>
      <c r="F62" s="449">
        <f t="shared" si="7"/>
        <v>9.2423726508129161E-2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661</v>
      </c>
      <c r="C63" s="448">
        <f>C62*C60</f>
        <v>-13663515.991357012</v>
      </c>
      <c r="D63" s="448">
        <f>LN_IB19*LN_IB17</f>
        <v>-15014084.925780505</v>
      </c>
      <c r="E63" s="448">
        <f t="shared" si="6"/>
        <v>-1350568.9344234932</v>
      </c>
      <c r="F63" s="449">
        <f t="shared" si="7"/>
        <v>9.8844904582232607E-2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662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652</v>
      </c>
      <c r="C66" s="448">
        <f>C42+C56</f>
        <v>177605406</v>
      </c>
      <c r="D66" s="448">
        <f>LN_IB1+LN_IB13</f>
        <v>195524502</v>
      </c>
      <c r="E66" s="448">
        <f>D66-C66</f>
        <v>17919096</v>
      </c>
      <c r="F66" s="449">
        <f>IF(C66=0,0,E66/C66)</f>
        <v>0.10089273971761874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653</v>
      </c>
      <c r="C67" s="448">
        <f>C43+C57</f>
        <v>68513498</v>
      </c>
      <c r="D67" s="448">
        <f>LN_IB2+LN_IB14</f>
        <v>76155645</v>
      </c>
      <c r="E67" s="448">
        <f>D67-C67</f>
        <v>7642147</v>
      </c>
      <c r="F67" s="449">
        <f>IF(C67=0,0,E67/C67)</f>
        <v>0.11154221026636241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654</v>
      </c>
      <c r="C68" s="448">
        <f>C66-C67</f>
        <v>109091908</v>
      </c>
      <c r="D68" s="448">
        <f>LN_IB21-LN_IB22</f>
        <v>119368857</v>
      </c>
      <c r="E68" s="448">
        <f>D68-C68</f>
        <v>10276949</v>
      </c>
      <c r="F68" s="449">
        <f>IF(C68=0,0,E68/C68)</f>
        <v>9.4204503234098722E-2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663</v>
      </c>
      <c r="C70" s="441">
        <f>C50+C63</f>
        <v>-19065177.365118708</v>
      </c>
      <c r="D70" s="441">
        <f>LN_IB9+LN_IB20</f>
        <v>-19824539.06366194</v>
      </c>
      <c r="E70" s="448">
        <f>D70-C70</f>
        <v>-759361.69854323193</v>
      </c>
      <c r="F70" s="449">
        <f>IF(C70=0,0,E70/C70)</f>
        <v>3.9829773623430639E-2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664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665</v>
      </c>
      <c r="C73" s="488">
        <v>174747361</v>
      </c>
      <c r="D73" s="488">
        <v>192436964</v>
      </c>
      <c r="E73" s="488">
        <f>D73-C73</f>
        <v>17689603</v>
      </c>
      <c r="F73" s="489">
        <f>IF(C73=0,0,E73/C73)</f>
        <v>0.10122958595065708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666</v>
      </c>
      <c r="C74" s="488">
        <v>70562058</v>
      </c>
      <c r="D74" s="488">
        <v>78725792</v>
      </c>
      <c r="E74" s="488">
        <f>D74-C74</f>
        <v>8163734</v>
      </c>
      <c r="F74" s="489">
        <f>IF(C74=0,0,E74/C74)</f>
        <v>0.11569580354359846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667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668</v>
      </c>
      <c r="C76" s="441">
        <f>C73-C74</f>
        <v>104185303</v>
      </c>
      <c r="D76" s="441">
        <f>LN_IB32-LN_IB33</f>
        <v>113711172</v>
      </c>
      <c r="E76" s="488">
        <f>D76-C76</f>
        <v>9525869</v>
      </c>
      <c r="F76" s="489">
        <f>IF(E76=0,0,E76/C76)</f>
        <v>9.1431984413386985E-2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669</v>
      </c>
      <c r="C77" s="453">
        <f>IF(C73=0,0,C76/C73)</f>
        <v>0.59620530120623683</v>
      </c>
      <c r="D77" s="453">
        <f>IF(LN_IB32=0,0,LN_IB34/LN_IB32)</f>
        <v>0.59090088326273948</v>
      </c>
      <c r="E77" s="493">
        <f>D77-C77</f>
        <v>-5.3044179434973415E-3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670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671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636</v>
      </c>
      <c r="C83" s="448">
        <v>295352</v>
      </c>
      <c r="D83" s="448">
        <v>391041</v>
      </c>
      <c r="E83" s="448">
        <f t="shared" ref="E83:E95" si="8">D83-C83</f>
        <v>95689</v>
      </c>
      <c r="F83" s="449">
        <f t="shared" ref="F83:F95" si="9">IF(C83=0,0,E83/C83)</f>
        <v>0.32398290852948347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637</v>
      </c>
      <c r="C84" s="448">
        <v>99041</v>
      </c>
      <c r="D84" s="448">
        <v>135790</v>
      </c>
      <c r="E84" s="448">
        <f t="shared" si="8"/>
        <v>36749</v>
      </c>
      <c r="F84" s="449">
        <f t="shared" si="9"/>
        <v>0.37104835371209904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638</v>
      </c>
      <c r="C85" s="453">
        <f>IF(C83=0,0,C84/C83)</f>
        <v>0.33533207833364936</v>
      </c>
      <c r="D85" s="453">
        <f>IF(LN_IC1=0,0,LN_IC2/LN_IC1)</f>
        <v>0.3472525898818794</v>
      </c>
      <c r="E85" s="454">
        <f t="shared" si="8"/>
        <v>1.1920511548230039E-2</v>
      </c>
      <c r="F85" s="449">
        <f t="shared" si="9"/>
        <v>3.5548378215010334E-2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11</v>
      </c>
      <c r="D86" s="456">
        <v>19</v>
      </c>
      <c r="E86" s="456">
        <f t="shared" si="8"/>
        <v>8</v>
      </c>
      <c r="F86" s="449">
        <f t="shared" si="9"/>
        <v>0.72727272727272729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639</v>
      </c>
      <c r="C87" s="459">
        <v>0.92817000000000005</v>
      </c>
      <c r="D87" s="459">
        <v>1.02</v>
      </c>
      <c r="E87" s="460">
        <f t="shared" si="8"/>
        <v>9.1829999999999967E-2</v>
      </c>
      <c r="F87" s="449">
        <f t="shared" si="9"/>
        <v>9.8936617214518852E-2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640</v>
      </c>
      <c r="C88" s="463">
        <f>C86*C87</f>
        <v>10.20987</v>
      </c>
      <c r="D88" s="463">
        <f>LN_IC4*LN_IC5</f>
        <v>19.38</v>
      </c>
      <c r="E88" s="463">
        <f t="shared" si="8"/>
        <v>9.1701299999999986</v>
      </c>
      <c r="F88" s="449">
        <f t="shared" si="9"/>
        <v>0.89816324791598701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641</v>
      </c>
      <c r="C89" s="465">
        <f>IF(C88=0,0,C84/C88)</f>
        <v>9700.5152856990335</v>
      </c>
      <c r="D89" s="465">
        <f>IF(LN_IC6=0,0,LN_IC2/LN_IC6)</f>
        <v>7006.7079463364298</v>
      </c>
      <c r="E89" s="465">
        <f t="shared" si="8"/>
        <v>-2693.8073393626037</v>
      </c>
      <c r="F89" s="449">
        <f t="shared" si="9"/>
        <v>-0.27769734493732967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672</v>
      </c>
      <c r="C90" s="465">
        <f>C48-C89</f>
        <v>702.04411108638487</v>
      </c>
      <c r="D90" s="465">
        <f>LN_IB7-LN_IC7</f>
        <v>3183.2677893508044</v>
      </c>
      <c r="E90" s="465">
        <f t="shared" si="8"/>
        <v>2481.2236782644195</v>
      </c>
      <c r="F90" s="449">
        <f t="shared" si="9"/>
        <v>3.5342845828089438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673</v>
      </c>
      <c r="C91" s="465">
        <f>C21-C89</f>
        <v>-1835.3039702405304</v>
      </c>
      <c r="D91" s="465">
        <f>LN_IA7-LN_IC7</f>
        <v>1384.7721999667447</v>
      </c>
      <c r="E91" s="465">
        <f t="shared" si="8"/>
        <v>3220.076170207275</v>
      </c>
      <c r="F91" s="449">
        <f t="shared" si="9"/>
        <v>-1.7545192635230118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658</v>
      </c>
      <c r="C92" s="441">
        <f>C91*C88</f>
        <v>-18738.214946639684</v>
      </c>
      <c r="D92" s="441">
        <f>LN_IC9*LN_IC6</f>
        <v>26836.885235355508</v>
      </c>
      <c r="E92" s="441">
        <f t="shared" si="8"/>
        <v>45575.100181995193</v>
      </c>
      <c r="F92" s="449">
        <f t="shared" si="9"/>
        <v>-2.4322007358640185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25</v>
      </c>
      <c r="D93" s="456">
        <v>43</v>
      </c>
      <c r="E93" s="456">
        <f t="shared" si="8"/>
        <v>18</v>
      </c>
      <c r="F93" s="449">
        <f t="shared" si="9"/>
        <v>0.72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642</v>
      </c>
      <c r="C94" s="499">
        <f>IF(C93=0,0,C84/C93)</f>
        <v>3961.64</v>
      </c>
      <c r="D94" s="499">
        <f>IF(LN_IC11=0,0,LN_IC2/LN_IC11)</f>
        <v>3157.9069767441861</v>
      </c>
      <c r="E94" s="499">
        <f t="shared" si="8"/>
        <v>-803.73302325581381</v>
      </c>
      <c r="F94" s="449">
        <f t="shared" si="9"/>
        <v>-0.20287886412087264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643</v>
      </c>
      <c r="C95" s="466">
        <f>IF(C86=0,0,C93/C86)</f>
        <v>2.2727272727272729</v>
      </c>
      <c r="D95" s="466">
        <f>IF(LN_IC4=0,0,LN_IC11/LN_IC4)</f>
        <v>2.263157894736842</v>
      </c>
      <c r="E95" s="466">
        <f t="shared" si="8"/>
        <v>-9.569377990430894E-3</v>
      </c>
      <c r="F95" s="449">
        <f t="shared" si="9"/>
        <v>-4.2105263157895933E-3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674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645</v>
      </c>
      <c r="C98" s="448">
        <v>2562693</v>
      </c>
      <c r="D98" s="448">
        <v>2696497</v>
      </c>
      <c r="E98" s="448">
        <f t="shared" ref="E98:E106" si="10">D98-C98</f>
        <v>133804</v>
      </c>
      <c r="F98" s="449">
        <f t="shared" ref="F98:F106" si="11">IF(C98=0,0,E98/C98)</f>
        <v>5.2212262647145014E-2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646</v>
      </c>
      <c r="C99" s="448">
        <v>241000</v>
      </c>
      <c r="D99" s="448">
        <v>171104</v>
      </c>
      <c r="E99" s="448">
        <f t="shared" si="10"/>
        <v>-69896</v>
      </c>
      <c r="F99" s="449">
        <f t="shared" si="11"/>
        <v>-0.29002489626556016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647</v>
      </c>
      <c r="C100" s="453">
        <f>IF(C98=0,0,C99/C98)</f>
        <v>9.4041697542389974E-2</v>
      </c>
      <c r="D100" s="453">
        <f>IF(LN_IC14=0,0,LN_IC15/LN_IC14)</f>
        <v>6.3454177772124351E-2</v>
      </c>
      <c r="E100" s="454">
        <f t="shared" si="10"/>
        <v>-3.0587519770265623E-2</v>
      </c>
      <c r="F100" s="449">
        <f t="shared" si="11"/>
        <v>-0.32525486640091833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648</v>
      </c>
      <c r="C101" s="453">
        <f>IF(C83=0,0,C98/C83)</f>
        <v>8.6767416506405919</v>
      </c>
      <c r="D101" s="453">
        <f>IF(LN_IC1=0,0,LN_IC14/LN_IC1)</f>
        <v>6.8956886873754923</v>
      </c>
      <c r="E101" s="454">
        <f t="shared" si="10"/>
        <v>-1.7810529632650995</v>
      </c>
      <c r="F101" s="449">
        <f t="shared" si="11"/>
        <v>-0.20526748807066381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649</v>
      </c>
      <c r="C102" s="463">
        <f>C101*C86</f>
        <v>95.444158157046516</v>
      </c>
      <c r="D102" s="463">
        <f>LN_IC17*LN_IC4</f>
        <v>131.01808506013435</v>
      </c>
      <c r="E102" s="463">
        <f t="shared" si="10"/>
        <v>35.573926903087838</v>
      </c>
      <c r="F102" s="449">
        <f t="shared" si="11"/>
        <v>0.37271979333248967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650</v>
      </c>
      <c r="C103" s="465">
        <f>IF(C102=0,0,C99/C102)</f>
        <v>2525.0366775036327</v>
      </c>
      <c r="D103" s="465">
        <f>IF(LN_IC18=0,0,LN_IC15/LN_IC18)</f>
        <v>1305.9571121152253</v>
      </c>
      <c r="E103" s="465">
        <f t="shared" si="10"/>
        <v>-1219.0795653884074</v>
      </c>
      <c r="F103" s="449">
        <f t="shared" si="11"/>
        <v>-0.48279677529026843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675</v>
      </c>
      <c r="C104" s="465">
        <f>C61-C103</f>
        <v>7346.8866673377233</v>
      </c>
      <c r="D104" s="465">
        <f>LN_IB18-LN_IC19</f>
        <v>9044.3125367171888</v>
      </c>
      <c r="E104" s="465">
        <f t="shared" si="10"/>
        <v>1697.4258693794654</v>
      </c>
      <c r="F104" s="449">
        <f t="shared" si="11"/>
        <v>0.23104015976260572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676</v>
      </c>
      <c r="C105" s="465">
        <f>C32-C103</f>
        <v>4437.8656197423888</v>
      </c>
      <c r="D105" s="465">
        <f>LN_IA16-LN_IC19</f>
        <v>5866.4289234125117</v>
      </c>
      <c r="E105" s="465">
        <f t="shared" si="10"/>
        <v>1428.5633036701229</v>
      </c>
      <c r="F105" s="449">
        <f t="shared" si="11"/>
        <v>0.32190323594184195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661</v>
      </c>
      <c r="C106" s="448">
        <f>C105*C102</f>
        <v>423568.3480904118</v>
      </c>
      <c r="D106" s="448">
        <f>LN_IC21*LN_IC18</f>
        <v>768608.28368689283</v>
      </c>
      <c r="E106" s="448">
        <f t="shared" si="10"/>
        <v>345039.93559648102</v>
      </c>
      <c r="F106" s="449">
        <f t="shared" si="11"/>
        <v>0.81460273684763462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677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652</v>
      </c>
      <c r="C109" s="448">
        <f>C83+C98</f>
        <v>2858045</v>
      </c>
      <c r="D109" s="448">
        <f>LN_IC1+LN_IC14</f>
        <v>3087538</v>
      </c>
      <c r="E109" s="448">
        <f>D109-C109</f>
        <v>229493</v>
      </c>
      <c r="F109" s="449">
        <f>IF(C109=0,0,E109/C109)</f>
        <v>8.0297196160312376E-2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653</v>
      </c>
      <c r="C110" s="448">
        <f>C84+C99</f>
        <v>340041</v>
      </c>
      <c r="D110" s="448">
        <f>LN_IC2+LN_IC15</f>
        <v>306894</v>
      </c>
      <c r="E110" s="448">
        <f>D110-C110</f>
        <v>-33147</v>
      </c>
      <c r="F110" s="449">
        <f>IF(C110=0,0,E110/C110)</f>
        <v>-9.7479421599160107E-2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654</v>
      </c>
      <c r="C111" s="448">
        <f>C109-C110</f>
        <v>2518004</v>
      </c>
      <c r="D111" s="448">
        <f>LN_IC23-LN_IC24</f>
        <v>2780644</v>
      </c>
      <c r="E111" s="448">
        <f>D111-C111</f>
        <v>262640</v>
      </c>
      <c r="F111" s="449">
        <f>IF(C111=0,0,E111/C111)</f>
        <v>0.10430483827666676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663</v>
      </c>
      <c r="C113" s="448">
        <f>C92+C106</f>
        <v>404830.13314377214</v>
      </c>
      <c r="D113" s="448">
        <f>LN_IC10+LN_IC22</f>
        <v>795445.1689222483</v>
      </c>
      <c r="E113" s="448">
        <f>D113-C113</f>
        <v>390615.03577847616</v>
      </c>
      <c r="F113" s="449">
        <f>IF(C113=0,0,E113/C113)</f>
        <v>0.96488626660543675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678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679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636</v>
      </c>
      <c r="C118" s="448">
        <v>36492468</v>
      </c>
      <c r="D118" s="448">
        <v>39002367</v>
      </c>
      <c r="E118" s="448">
        <f t="shared" ref="E118:E130" si="12">D118-C118</f>
        <v>2509899</v>
      </c>
      <c r="F118" s="449">
        <f t="shared" ref="F118:F130" si="13">IF(C118=0,0,E118/C118)</f>
        <v>6.8778549041955725E-2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637</v>
      </c>
      <c r="C119" s="448">
        <v>7773339</v>
      </c>
      <c r="D119" s="448">
        <v>8415128</v>
      </c>
      <c r="E119" s="448">
        <f t="shared" si="12"/>
        <v>641789</v>
      </c>
      <c r="F119" s="449">
        <f t="shared" si="13"/>
        <v>8.2562847188318939E-2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638</v>
      </c>
      <c r="C120" s="453">
        <f>IF(C118=0,0,C119/C118)</f>
        <v>0.2130121481506814</v>
      </c>
      <c r="D120" s="453">
        <f>IF(LN_ID1=0,0,LN_1D2/LN_ID1)</f>
        <v>0.21575941788353512</v>
      </c>
      <c r="E120" s="454">
        <f t="shared" si="12"/>
        <v>2.7472697328537188E-3</v>
      </c>
      <c r="F120" s="449">
        <f t="shared" si="13"/>
        <v>1.2897244390542196E-2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1523</v>
      </c>
      <c r="D121" s="456">
        <v>1638</v>
      </c>
      <c r="E121" s="456">
        <f t="shared" si="12"/>
        <v>115</v>
      </c>
      <c r="F121" s="449">
        <f t="shared" si="13"/>
        <v>7.5508864084044655E-2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639</v>
      </c>
      <c r="C122" s="459">
        <v>0.87407999999999997</v>
      </c>
      <c r="D122" s="459">
        <v>0.92</v>
      </c>
      <c r="E122" s="460">
        <f t="shared" si="12"/>
        <v>4.5920000000000072E-2</v>
      </c>
      <c r="F122" s="449">
        <f t="shared" si="13"/>
        <v>5.253523704924043E-2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640</v>
      </c>
      <c r="C123" s="463">
        <f>C121*C122</f>
        <v>1331.2238399999999</v>
      </c>
      <c r="D123" s="463">
        <f>LN_ID4*LN_ID5</f>
        <v>1506.96</v>
      </c>
      <c r="E123" s="463">
        <f t="shared" si="12"/>
        <v>175.73616000000015</v>
      </c>
      <c r="F123" s="449">
        <f t="shared" si="13"/>
        <v>0.13201097720725927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641</v>
      </c>
      <c r="C124" s="465">
        <f>IF(C123=0,0,C119/C123)</f>
        <v>5839.2426325538163</v>
      </c>
      <c r="D124" s="465">
        <f>IF(LN_ID6=0,0,LN_1D2/LN_ID6)</f>
        <v>5584.1747624356321</v>
      </c>
      <c r="E124" s="465">
        <f t="shared" si="12"/>
        <v>-255.06787011818415</v>
      </c>
      <c r="F124" s="449">
        <f t="shared" si="13"/>
        <v>-4.3681670067309601E-2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680</v>
      </c>
      <c r="C125" s="465">
        <f>C48-C124</f>
        <v>4563.3167642316021</v>
      </c>
      <c r="D125" s="465">
        <f>LN_IB7-LN_ID7</f>
        <v>4605.800973251602</v>
      </c>
      <c r="E125" s="465">
        <f t="shared" si="12"/>
        <v>42.48420901999998</v>
      </c>
      <c r="F125" s="449">
        <f t="shared" si="13"/>
        <v>9.3099408204579716E-3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681</v>
      </c>
      <c r="C126" s="465">
        <f>C21-C124</f>
        <v>2025.9686829046868</v>
      </c>
      <c r="D126" s="465">
        <f>LN_IA7-LN_ID7</f>
        <v>2807.3053838675423</v>
      </c>
      <c r="E126" s="465">
        <f t="shared" si="12"/>
        <v>781.3367009628555</v>
      </c>
      <c r="F126" s="449">
        <f t="shared" si="13"/>
        <v>0.38566079898265343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658</v>
      </c>
      <c r="C127" s="479">
        <f>C126*C123</f>
        <v>2697017.8097761194</v>
      </c>
      <c r="D127" s="479">
        <f>LN_ID9*LN_ID6</f>
        <v>4230496.9212730313</v>
      </c>
      <c r="E127" s="479">
        <f t="shared" si="12"/>
        <v>1533479.1114969118</v>
      </c>
      <c r="F127" s="449">
        <f t="shared" si="13"/>
        <v>0.56858323513414488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6648</v>
      </c>
      <c r="D128" s="456">
        <v>6699</v>
      </c>
      <c r="E128" s="456">
        <f t="shared" si="12"/>
        <v>51</v>
      </c>
      <c r="F128" s="449">
        <f t="shared" si="13"/>
        <v>7.6714801444043319E-3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642</v>
      </c>
      <c r="C129" s="465">
        <f>IF(C128=0,0,C119/C128)</f>
        <v>1169.2748194945848</v>
      </c>
      <c r="D129" s="465">
        <f>IF(LN_ID11=0,0,LN_1D2/LN_ID11)</f>
        <v>1256.1767427974326</v>
      </c>
      <c r="E129" s="465">
        <f t="shared" si="12"/>
        <v>86.901923302847763</v>
      </c>
      <c r="F129" s="449">
        <f t="shared" si="13"/>
        <v>7.4321213331533839E-2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643</v>
      </c>
      <c r="C130" s="466">
        <f>IF(C121=0,0,C128/C121)</f>
        <v>4.3650689428759026</v>
      </c>
      <c r="D130" s="466">
        <f>IF(LN_ID4=0,0,LN_ID11/LN_ID4)</f>
        <v>4.0897435897435894</v>
      </c>
      <c r="E130" s="466">
        <f t="shared" si="12"/>
        <v>-0.27532535313231321</v>
      </c>
      <c r="F130" s="449">
        <f t="shared" si="13"/>
        <v>-6.3074686044000156E-2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682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645</v>
      </c>
      <c r="C133" s="448">
        <v>70096265</v>
      </c>
      <c r="D133" s="448">
        <v>76599661</v>
      </c>
      <c r="E133" s="448">
        <f t="shared" ref="E133:E141" si="14">D133-C133</f>
        <v>6503396</v>
      </c>
      <c r="F133" s="449">
        <f t="shared" ref="F133:F141" si="15">IF(C133=0,0,E133/C133)</f>
        <v>9.277806741914138E-2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646</v>
      </c>
      <c r="C134" s="448">
        <v>12593462</v>
      </c>
      <c r="D134" s="448">
        <v>13540753</v>
      </c>
      <c r="E134" s="448">
        <f t="shared" si="14"/>
        <v>947291</v>
      </c>
      <c r="F134" s="449">
        <f t="shared" si="15"/>
        <v>7.522085666356082E-2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647</v>
      </c>
      <c r="C135" s="453">
        <f>IF(C133=0,0,C134/C133)</f>
        <v>0.17965952964826301</v>
      </c>
      <c r="D135" s="453">
        <f>IF(LN_ID14=0,0,LN_ID15/LN_ID14)</f>
        <v>0.17677301470041754</v>
      </c>
      <c r="E135" s="454">
        <f t="shared" si="14"/>
        <v>-2.8865149478454755E-3</v>
      </c>
      <c r="F135" s="449">
        <f t="shared" si="15"/>
        <v>-1.6066584129974554E-2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648</v>
      </c>
      <c r="C136" s="453">
        <f>IF(C118=0,0,C133/C118)</f>
        <v>1.92084199402463</v>
      </c>
      <c r="D136" s="453">
        <f>IF(LN_ID1=0,0,LN_ID14/LN_ID1)</f>
        <v>1.9639746736396793</v>
      </c>
      <c r="E136" s="454">
        <f t="shared" si="14"/>
        <v>4.3132679615049296E-2</v>
      </c>
      <c r="F136" s="449">
        <f t="shared" si="15"/>
        <v>2.2455089876849198E-2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649</v>
      </c>
      <c r="C137" s="463">
        <f>C136*C121</f>
        <v>2925.4423568995117</v>
      </c>
      <c r="D137" s="463">
        <f>LN_ID17*LN_ID4</f>
        <v>3216.9905154217945</v>
      </c>
      <c r="E137" s="463">
        <f t="shared" si="14"/>
        <v>291.54815852228285</v>
      </c>
      <c r="F137" s="449">
        <f t="shared" si="15"/>
        <v>9.9659512290399738E-2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650</v>
      </c>
      <c r="C138" s="465">
        <f>IF(C137=0,0,C134/C137)</f>
        <v>4304.8060647303273</v>
      </c>
      <c r="D138" s="465">
        <f>IF(LN_ID18=0,0,LN_ID15/LN_ID18)</f>
        <v>4209.136749109939</v>
      </c>
      <c r="E138" s="465">
        <f t="shared" si="14"/>
        <v>-95.669315620388261</v>
      </c>
      <c r="F138" s="449">
        <f t="shared" si="15"/>
        <v>-2.2223838700706121E-2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683</v>
      </c>
      <c r="C139" s="465">
        <f>C61-C138</f>
        <v>5567.1172801110288</v>
      </c>
      <c r="D139" s="465">
        <f>LN_IB18-LN_ID19</f>
        <v>6141.1328997224755</v>
      </c>
      <c r="E139" s="465">
        <f t="shared" si="14"/>
        <v>574.01561961144671</v>
      </c>
      <c r="F139" s="449">
        <f t="shared" si="15"/>
        <v>0.10310823191423744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684</v>
      </c>
      <c r="C140" s="465">
        <f>C32-C138</f>
        <v>2658.0962325156943</v>
      </c>
      <c r="D140" s="465">
        <f>LN_IA16-LN_ID19</f>
        <v>2963.2492864177984</v>
      </c>
      <c r="E140" s="465">
        <f t="shared" si="14"/>
        <v>305.15305390210415</v>
      </c>
      <c r="F140" s="449">
        <f t="shared" si="15"/>
        <v>0.11480135676400964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661</v>
      </c>
      <c r="C141" s="441">
        <f>C140*C137</f>
        <v>7776107.3073164253</v>
      </c>
      <c r="D141" s="441">
        <f>LN_ID21*LN_ID18</f>
        <v>9532744.8492364585</v>
      </c>
      <c r="E141" s="441">
        <f t="shared" si="14"/>
        <v>1756637.5419200333</v>
      </c>
      <c r="F141" s="449">
        <f t="shared" si="15"/>
        <v>0.22590191627978679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685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652</v>
      </c>
      <c r="C144" s="448">
        <f>C118+C133</f>
        <v>106588733</v>
      </c>
      <c r="D144" s="448">
        <f>LN_ID1+LN_ID14</f>
        <v>115602028</v>
      </c>
      <c r="E144" s="448">
        <f>D144-C144</f>
        <v>9013295</v>
      </c>
      <c r="F144" s="449">
        <f>IF(C144=0,0,E144/C144)</f>
        <v>8.4561423579357115E-2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653</v>
      </c>
      <c r="C145" s="448">
        <f>C119+C134</f>
        <v>20366801</v>
      </c>
      <c r="D145" s="448">
        <f>LN_1D2+LN_ID15</f>
        <v>21955881</v>
      </c>
      <c r="E145" s="448">
        <f>D145-C145</f>
        <v>1589080</v>
      </c>
      <c r="F145" s="449">
        <f>IF(C145=0,0,E145/C145)</f>
        <v>7.8023053301301465E-2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654</v>
      </c>
      <c r="C146" s="448">
        <f>C144-C145</f>
        <v>86221932</v>
      </c>
      <c r="D146" s="448">
        <f>LN_ID23-LN_ID24</f>
        <v>93646147</v>
      </c>
      <c r="E146" s="448">
        <f>D146-C146</f>
        <v>7424215</v>
      </c>
      <c r="F146" s="449">
        <f>IF(C146=0,0,E146/C146)</f>
        <v>8.6105876170810003E-2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663</v>
      </c>
      <c r="C148" s="448">
        <f>C127+C141</f>
        <v>10473125.117092544</v>
      </c>
      <c r="D148" s="448">
        <f>LN_ID10+LN_ID22</f>
        <v>13763241.770509489</v>
      </c>
      <c r="E148" s="448">
        <f>D148-C148</f>
        <v>3290116.6534169447</v>
      </c>
      <c r="F148" s="503">
        <f>IF(C148=0,0,E148/C148)</f>
        <v>0.31414851027105056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686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687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636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637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638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639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640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641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688</v>
      </c>
      <c r="C160" s="465">
        <f>C48-C159</f>
        <v>10402.559396785418</v>
      </c>
      <c r="D160" s="465">
        <f>LN_IB7-LN_IE7</f>
        <v>10189.975735687234</v>
      </c>
      <c r="E160" s="465">
        <f t="shared" si="16"/>
        <v>-212.58366109818417</v>
      </c>
      <c r="F160" s="449">
        <f t="shared" si="17"/>
        <v>-2.0435707501355524E-2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689</v>
      </c>
      <c r="C161" s="465">
        <f>C21-C159</f>
        <v>7865.2113154585031</v>
      </c>
      <c r="D161" s="465">
        <f>LN_IA7-LN_IE7</f>
        <v>8391.4801463031745</v>
      </c>
      <c r="E161" s="465">
        <f t="shared" si="16"/>
        <v>526.26883084467136</v>
      </c>
      <c r="F161" s="449">
        <f t="shared" si="17"/>
        <v>6.6910958871547174E-2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658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642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643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690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645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646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647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648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649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650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691</v>
      </c>
      <c r="C174" s="465">
        <f>C61-C173</f>
        <v>9871.9233448413561</v>
      </c>
      <c r="D174" s="465">
        <f>LN_IB18-LN_IE19</f>
        <v>10350.269648832415</v>
      </c>
      <c r="E174" s="465">
        <f t="shared" si="18"/>
        <v>478.34630399105845</v>
      </c>
      <c r="F174" s="449">
        <f t="shared" si="19"/>
        <v>4.8455228761578838E-2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692</v>
      </c>
      <c r="C175" s="465">
        <f>C32-C173</f>
        <v>6962.9022972460216</v>
      </c>
      <c r="D175" s="465">
        <f>LN_IA16-LN_IE19</f>
        <v>7172.3860355277375</v>
      </c>
      <c r="E175" s="465">
        <f t="shared" si="18"/>
        <v>209.48373828171589</v>
      </c>
      <c r="F175" s="449">
        <f t="shared" si="19"/>
        <v>3.0085692623400911E-2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661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693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652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653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654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694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695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696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636</v>
      </c>
      <c r="C188" s="448">
        <f>C118+C153</f>
        <v>36492468</v>
      </c>
      <c r="D188" s="448">
        <f>LN_ID1+LN_IE1</f>
        <v>39002367</v>
      </c>
      <c r="E188" s="448">
        <f t="shared" ref="E188:E200" si="20">D188-C188</f>
        <v>2509899</v>
      </c>
      <c r="F188" s="449">
        <f t="shared" ref="F188:F200" si="21">IF(C188=0,0,E188/C188)</f>
        <v>6.8778549041955725E-2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637</v>
      </c>
      <c r="C189" s="448">
        <f>C119+C154</f>
        <v>7773339</v>
      </c>
      <c r="D189" s="448">
        <f>LN_1D2+LN_IE2</f>
        <v>8415128</v>
      </c>
      <c r="E189" s="448">
        <f t="shared" si="20"/>
        <v>641789</v>
      </c>
      <c r="F189" s="449">
        <f t="shared" si="21"/>
        <v>8.2562847188318939E-2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638</v>
      </c>
      <c r="C190" s="453">
        <f>IF(C188=0,0,C189/C188)</f>
        <v>0.2130121481506814</v>
      </c>
      <c r="D190" s="453">
        <f>IF(LN_IF1=0,0,LN_IF2/LN_IF1)</f>
        <v>0.21575941788353512</v>
      </c>
      <c r="E190" s="454">
        <f t="shared" si="20"/>
        <v>2.7472697328537188E-3</v>
      </c>
      <c r="F190" s="449">
        <f t="shared" si="21"/>
        <v>1.2897244390542196E-2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1523</v>
      </c>
      <c r="D191" s="456">
        <f>LN_ID4+LN_IE4</f>
        <v>1638</v>
      </c>
      <c r="E191" s="456">
        <f t="shared" si="20"/>
        <v>115</v>
      </c>
      <c r="F191" s="449">
        <f t="shared" si="21"/>
        <v>7.5508864084044655E-2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639</v>
      </c>
      <c r="C192" s="459">
        <f>IF((C121+C156)=0,0,(C123+C158)/(C121+C156))</f>
        <v>0.87407999999999997</v>
      </c>
      <c r="D192" s="459">
        <f>IF((LN_ID4+LN_IE4)=0,0,(LN_ID6+LN_IE6)/(LN_ID4+LN_IE4))</f>
        <v>0.92</v>
      </c>
      <c r="E192" s="460">
        <f t="shared" si="20"/>
        <v>4.5920000000000072E-2</v>
      </c>
      <c r="F192" s="449">
        <f t="shared" si="21"/>
        <v>5.253523704924043E-2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640</v>
      </c>
      <c r="C193" s="463">
        <f>C123+C158</f>
        <v>1331.2238399999999</v>
      </c>
      <c r="D193" s="463">
        <f>LN_IF4*LN_IF5</f>
        <v>1506.96</v>
      </c>
      <c r="E193" s="463">
        <f t="shared" si="20"/>
        <v>175.73616000000015</v>
      </c>
      <c r="F193" s="449">
        <f t="shared" si="21"/>
        <v>0.13201097720725927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641</v>
      </c>
      <c r="C194" s="465">
        <f>IF(C193=0,0,C189/C193)</f>
        <v>5839.2426325538163</v>
      </c>
      <c r="D194" s="465">
        <f>IF(LN_IF6=0,0,LN_IF2/LN_IF6)</f>
        <v>5584.1747624356321</v>
      </c>
      <c r="E194" s="465">
        <f t="shared" si="20"/>
        <v>-255.06787011818415</v>
      </c>
      <c r="F194" s="449">
        <f t="shared" si="21"/>
        <v>-4.3681670067309601E-2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697</v>
      </c>
      <c r="C195" s="465">
        <f>C48-C194</f>
        <v>4563.3167642316021</v>
      </c>
      <c r="D195" s="465">
        <f>LN_IB7-LN_IF7</f>
        <v>4605.800973251602</v>
      </c>
      <c r="E195" s="465">
        <f t="shared" si="20"/>
        <v>42.48420901999998</v>
      </c>
      <c r="F195" s="449">
        <f t="shared" si="21"/>
        <v>9.3099408204579716E-3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698</v>
      </c>
      <c r="C196" s="465">
        <f>C21-C194</f>
        <v>2025.9686829046868</v>
      </c>
      <c r="D196" s="465">
        <f>LN_IA7-LN_IF7</f>
        <v>2807.3053838675423</v>
      </c>
      <c r="E196" s="465">
        <f t="shared" si="20"/>
        <v>781.3367009628555</v>
      </c>
      <c r="F196" s="449">
        <f t="shared" si="21"/>
        <v>0.38566079898265343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658</v>
      </c>
      <c r="C197" s="479">
        <f>C127+C162</f>
        <v>2697017.8097761194</v>
      </c>
      <c r="D197" s="479">
        <f>LN_IF9*LN_IF6</f>
        <v>4230496.9212730313</v>
      </c>
      <c r="E197" s="479">
        <f t="shared" si="20"/>
        <v>1533479.1114969118</v>
      </c>
      <c r="F197" s="449">
        <f t="shared" si="21"/>
        <v>0.56858323513414488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6648</v>
      </c>
      <c r="D198" s="456">
        <f>LN_ID11+LN_IE11</f>
        <v>6699</v>
      </c>
      <c r="E198" s="456">
        <f t="shared" si="20"/>
        <v>51</v>
      </c>
      <c r="F198" s="449">
        <f t="shared" si="21"/>
        <v>7.6714801444043319E-3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642</v>
      </c>
      <c r="C199" s="519">
        <f>IF(C198=0,0,C189/C198)</f>
        <v>1169.2748194945848</v>
      </c>
      <c r="D199" s="519">
        <f>IF(LN_IF11=0,0,LN_IF2/LN_IF11)</f>
        <v>1256.1767427974326</v>
      </c>
      <c r="E199" s="519">
        <f t="shared" si="20"/>
        <v>86.901923302847763</v>
      </c>
      <c r="F199" s="449">
        <f t="shared" si="21"/>
        <v>7.4321213331533839E-2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643</v>
      </c>
      <c r="C200" s="466">
        <f>IF(C191=0,0,C198/C191)</f>
        <v>4.3650689428759026</v>
      </c>
      <c r="D200" s="466">
        <f>IF(LN_IF4=0,0,LN_IF11/LN_IF4)</f>
        <v>4.0897435897435894</v>
      </c>
      <c r="E200" s="466">
        <f t="shared" si="20"/>
        <v>-0.27532535313231321</v>
      </c>
      <c r="F200" s="449">
        <f t="shared" si="21"/>
        <v>-6.3074686044000156E-2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699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645</v>
      </c>
      <c r="C203" s="448">
        <f>C133+C168</f>
        <v>70096265</v>
      </c>
      <c r="D203" s="448">
        <f>LN_ID14+LN_IE14</f>
        <v>76599661</v>
      </c>
      <c r="E203" s="448">
        <f t="shared" ref="E203:E211" si="22">D203-C203</f>
        <v>6503396</v>
      </c>
      <c r="F203" s="449">
        <f t="shared" ref="F203:F211" si="23">IF(C203=0,0,E203/C203)</f>
        <v>9.277806741914138E-2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646</v>
      </c>
      <c r="C204" s="448">
        <f>C134+C169</f>
        <v>12593462</v>
      </c>
      <c r="D204" s="448">
        <f>LN_ID15+LN_IE15</f>
        <v>13540753</v>
      </c>
      <c r="E204" s="448">
        <f t="shared" si="22"/>
        <v>947291</v>
      </c>
      <c r="F204" s="449">
        <f t="shared" si="23"/>
        <v>7.522085666356082E-2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647</v>
      </c>
      <c r="C205" s="453">
        <f>IF(C203=0,0,C204/C203)</f>
        <v>0.17965952964826301</v>
      </c>
      <c r="D205" s="453">
        <f>IF(LN_IF14=0,0,LN_IF15/LN_IF14)</f>
        <v>0.17677301470041754</v>
      </c>
      <c r="E205" s="454">
        <f t="shared" si="22"/>
        <v>-2.8865149478454755E-3</v>
      </c>
      <c r="F205" s="449">
        <f t="shared" si="23"/>
        <v>-1.6066584129974554E-2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648</v>
      </c>
      <c r="C206" s="453">
        <f>IF(C188=0,0,C203/C188)</f>
        <v>1.92084199402463</v>
      </c>
      <c r="D206" s="453">
        <f>IF(LN_IF1=0,0,LN_IF14/LN_IF1)</f>
        <v>1.9639746736396793</v>
      </c>
      <c r="E206" s="454">
        <f t="shared" si="22"/>
        <v>4.3132679615049296E-2</v>
      </c>
      <c r="F206" s="449">
        <f t="shared" si="23"/>
        <v>2.2455089876849198E-2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649</v>
      </c>
      <c r="C207" s="463">
        <f>C137+C172</f>
        <v>2925.4423568995117</v>
      </c>
      <c r="D207" s="463">
        <f>LN_ID18+LN_IE18</f>
        <v>3216.9905154217945</v>
      </c>
      <c r="E207" s="463">
        <f t="shared" si="22"/>
        <v>291.54815852228285</v>
      </c>
      <c r="F207" s="449">
        <f t="shared" si="23"/>
        <v>9.9659512290399738E-2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650</v>
      </c>
      <c r="C208" s="465">
        <f>IF(C207=0,0,C204/C207)</f>
        <v>4304.8060647303273</v>
      </c>
      <c r="D208" s="465">
        <f>IF(LN_IF18=0,0,LN_IF15/LN_IF18)</f>
        <v>4209.136749109939</v>
      </c>
      <c r="E208" s="465">
        <f t="shared" si="22"/>
        <v>-95.669315620388261</v>
      </c>
      <c r="F208" s="449">
        <f t="shared" si="23"/>
        <v>-2.2223838700706121E-2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700</v>
      </c>
      <c r="C209" s="465">
        <f>C61-C208</f>
        <v>5567.1172801110288</v>
      </c>
      <c r="D209" s="465">
        <f>LN_IB18-LN_IF19</f>
        <v>6141.1328997224755</v>
      </c>
      <c r="E209" s="465">
        <f t="shared" si="22"/>
        <v>574.01561961144671</v>
      </c>
      <c r="F209" s="449">
        <f t="shared" si="23"/>
        <v>0.10310823191423744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701</v>
      </c>
      <c r="C210" s="465">
        <f>C32-C208</f>
        <v>2658.0962325156943</v>
      </c>
      <c r="D210" s="465">
        <f>LN_IA16-LN_IF19</f>
        <v>2963.2492864177984</v>
      </c>
      <c r="E210" s="465">
        <f t="shared" si="22"/>
        <v>305.15305390210415</v>
      </c>
      <c r="F210" s="449">
        <f t="shared" si="23"/>
        <v>0.11480135676400964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661</v>
      </c>
      <c r="C211" s="479">
        <f>C141+C176</f>
        <v>7776107.3073164253</v>
      </c>
      <c r="D211" s="441">
        <f>LN_IF21*LN_IF18</f>
        <v>9532744.8492364585</v>
      </c>
      <c r="E211" s="441">
        <f t="shared" si="22"/>
        <v>1756637.5419200333</v>
      </c>
      <c r="F211" s="449">
        <f t="shared" si="23"/>
        <v>0.22590191627978679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702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652</v>
      </c>
      <c r="C214" s="448">
        <f>C188+C203</f>
        <v>106588733</v>
      </c>
      <c r="D214" s="448">
        <f>LN_IF1+LN_IF14</f>
        <v>115602028</v>
      </c>
      <c r="E214" s="448">
        <f>D214-C214</f>
        <v>9013295</v>
      </c>
      <c r="F214" s="449">
        <f>IF(C214=0,0,E214/C214)</f>
        <v>8.4561423579357115E-2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653</v>
      </c>
      <c r="C215" s="448">
        <f>C189+C204</f>
        <v>20366801</v>
      </c>
      <c r="D215" s="448">
        <f>LN_IF2+LN_IF15</f>
        <v>21955881</v>
      </c>
      <c r="E215" s="448">
        <f>D215-C215</f>
        <v>1589080</v>
      </c>
      <c r="F215" s="449">
        <f>IF(C215=0,0,E215/C215)</f>
        <v>7.8023053301301465E-2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654</v>
      </c>
      <c r="C216" s="448">
        <f>C214-C215</f>
        <v>86221932</v>
      </c>
      <c r="D216" s="448">
        <f>LN_IF23-LN_IF24</f>
        <v>93646147</v>
      </c>
      <c r="E216" s="448">
        <f>D216-C216</f>
        <v>7424215</v>
      </c>
      <c r="F216" s="449">
        <f>IF(C216=0,0,E216/C216)</f>
        <v>8.6105876170810003E-2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703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704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636</v>
      </c>
      <c r="C221" s="448">
        <v>147675</v>
      </c>
      <c r="D221" s="448">
        <v>166684</v>
      </c>
      <c r="E221" s="448">
        <f t="shared" ref="E221:E230" si="24">D221-C221</f>
        <v>19009</v>
      </c>
      <c r="F221" s="449">
        <f t="shared" ref="F221:F230" si="25">IF(C221=0,0,E221/C221)</f>
        <v>0.12872185542576603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637</v>
      </c>
      <c r="C222" s="448">
        <v>0</v>
      </c>
      <c r="D222" s="448">
        <v>166684</v>
      </c>
      <c r="E222" s="448">
        <f t="shared" si="24"/>
        <v>166684</v>
      </c>
      <c r="F222" s="449">
        <f t="shared" si="25"/>
        <v>0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638</v>
      </c>
      <c r="C223" s="453">
        <f>IF(C221=0,0,C222/C221)</f>
        <v>0</v>
      </c>
      <c r="D223" s="453">
        <f>IF(LN_IG1=0,0,LN_IG2/LN_IG1)</f>
        <v>1</v>
      </c>
      <c r="E223" s="454">
        <f t="shared" si="24"/>
        <v>1</v>
      </c>
      <c r="F223" s="449">
        <f t="shared" si="25"/>
        <v>0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10</v>
      </c>
      <c r="D224" s="456">
        <v>10</v>
      </c>
      <c r="E224" s="456">
        <f t="shared" si="24"/>
        <v>0</v>
      </c>
      <c r="F224" s="449">
        <f t="shared" si="25"/>
        <v>0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639</v>
      </c>
      <c r="C225" s="459">
        <v>0.65644999999999998</v>
      </c>
      <c r="D225" s="459">
        <v>0.77</v>
      </c>
      <c r="E225" s="460">
        <f t="shared" si="24"/>
        <v>0.11355000000000004</v>
      </c>
      <c r="F225" s="449">
        <f t="shared" si="25"/>
        <v>0.17297585497753074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640</v>
      </c>
      <c r="C226" s="463">
        <f>C224*C225</f>
        <v>6.5644999999999998</v>
      </c>
      <c r="D226" s="463">
        <f>LN_IG3*LN_IG4</f>
        <v>7.7</v>
      </c>
      <c r="E226" s="463">
        <f t="shared" si="24"/>
        <v>1.1355000000000004</v>
      </c>
      <c r="F226" s="449">
        <f t="shared" si="25"/>
        <v>0.17297585497753074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641</v>
      </c>
      <c r="C227" s="465">
        <f>IF(C226=0,0,C222/C226)</f>
        <v>0</v>
      </c>
      <c r="D227" s="465">
        <f>IF(LN_IG5=0,0,LN_IG2/LN_IG5)</f>
        <v>21647.272727272728</v>
      </c>
      <c r="E227" s="465">
        <f t="shared" si="24"/>
        <v>21647.272727272728</v>
      </c>
      <c r="F227" s="449">
        <f t="shared" si="25"/>
        <v>0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26</v>
      </c>
      <c r="D228" s="456">
        <v>24</v>
      </c>
      <c r="E228" s="456">
        <f t="shared" si="24"/>
        <v>-2</v>
      </c>
      <c r="F228" s="449">
        <f t="shared" si="25"/>
        <v>-7.6923076923076927E-2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642</v>
      </c>
      <c r="C229" s="465">
        <f>IF(C228=0,0,C222/C228)</f>
        <v>0</v>
      </c>
      <c r="D229" s="465">
        <f>IF(LN_IG6=0,0,LN_IG2/LN_IG6)</f>
        <v>6945.166666666667</v>
      </c>
      <c r="E229" s="465">
        <f t="shared" si="24"/>
        <v>6945.166666666667</v>
      </c>
      <c r="F229" s="449">
        <f t="shared" si="25"/>
        <v>0</v>
      </c>
      <c r="Q229" s="421"/>
      <c r="U229" s="462"/>
    </row>
    <row r="230" spans="1:21" ht="15.75" customHeight="1" x14ac:dyDescent="0.2">
      <c r="A230" s="451">
        <v>10</v>
      </c>
      <c r="B230" s="447" t="s">
        <v>643</v>
      </c>
      <c r="C230" s="466">
        <f>IF(C224=0,0,C228/C224)</f>
        <v>2.6</v>
      </c>
      <c r="D230" s="466">
        <f>IF(LN_IG3=0,0,LN_IG6/LN_IG3)</f>
        <v>2.4</v>
      </c>
      <c r="E230" s="466">
        <f t="shared" si="24"/>
        <v>-0.20000000000000018</v>
      </c>
      <c r="F230" s="449">
        <f t="shared" si="25"/>
        <v>-7.6923076923076983E-2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705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645</v>
      </c>
      <c r="C233" s="448">
        <v>415176</v>
      </c>
      <c r="D233" s="448">
        <v>388433</v>
      </c>
      <c r="E233" s="448">
        <f>D233-C233</f>
        <v>-26743</v>
      </c>
      <c r="F233" s="449">
        <f>IF(C233=0,0,E233/C233)</f>
        <v>-6.4413646260862864E-2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646</v>
      </c>
      <c r="C234" s="448">
        <v>76825</v>
      </c>
      <c r="D234" s="448">
        <v>388433</v>
      </c>
      <c r="E234" s="448">
        <f>D234-C234</f>
        <v>311608</v>
      </c>
      <c r="F234" s="449">
        <f>IF(C234=0,0,E234/C234)</f>
        <v>4.056075496257729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706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652</v>
      </c>
      <c r="C237" s="448">
        <f>C221+C233</f>
        <v>562851</v>
      </c>
      <c r="D237" s="448">
        <f>LN_IG1+LN_IG9</f>
        <v>555117</v>
      </c>
      <c r="E237" s="448">
        <f>D237-C237</f>
        <v>-7734</v>
      </c>
      <c r="F237" s="449">
        <f>IF(C237=0,0,E237/C237)</f>
        <v>-1.3740759099655149E-2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653</v>
      </c>
      <c r="C238" s="448">
        <f>C222+C234</f>
        <v>76825</v>
      </c>
      <c r="D238" s="448">
        <f>LN_IG2+LN_IG10</f>
        <v>555117</v>
      </c>
      <c r="E238" s="448">
        <f>D238-C238</f>
        <v>478292</v>
      </c>
      <c r="F238" s="449">
        <f>IF(C238=0,0,E238/C238)</f>
        <v>6.225733810608526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654</v>
      </c>
      <c r="C239" s="448">
        <f>C237-C238</f>
        <v>486026</v>
      </c>
      <c r="D239" s="448">
        <f>LN_IG13-LN_IG14</f>
        <v>0</v>
      </c>
      <c r="E239" s="448">
        <f>D239-C239</f>
        <v>-486026</v>
      </c>
      <c r="F239" s="449">
        <f>IF(C239=0,0,E239/C239)</f>
        <v>-1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707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708</v>
      </c>
      <c r="C243" s="448">
        <v>5691910</v>
      </c>
      <c r="D243" s="448">
        <v>8671262</v>
      </c>
      <c r="E243" s="441">
        <f>D243-C243</f>
        <v>2979352</v>
      </c>
      <c r="F243" s="503">
        <f>IF(C243=0,0,E243/C243)</f>
        <v>0.52343624547823142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709</v>
      </c>
      <c r="C244" s="448">
        <v>141153441</v>
      </c>
      <c r="D244" s="448">
        <v>150278225</v>
      </c>
      <c r="E244" s="441">
        <f>D244-C244</f>
        <v>9124784</v>
      </c>
      <c r="F244" s="503">
        <f>IF(C244=0,0,E244/C244)</f>
        <v>6.4644431870421071E-2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710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711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712</v>
      </c>
      <c r="C248" s="441">
        <v>3122499</v>
      </c>
      <c r="D248" s="441">
        <v>3734054</v>
      </c>
      <c r="E248" s="441">
        <f>D248-C248</f>
        <v>611555</v>
      </c>
      <c r="F248" s="449">
        <f>IF(C248=0,0,E248/C248)</f>
        <v>0.19585434615031103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713</v>
      </c>
      <c r="C249" s="441">
        <v>1784106</v>
      </c>
      <c r="D249" s="441">
        <v>1923631</v>
      </c>
      <c r="E249" s="441">
        <f>D249-C249</f>
        <v>139525</v>
      </c>
      <c r="F249" s="449">
        <f>IF(C249=0,0,E249/C249)</f>
        <v>7.8204434041475118E-2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714</v>
      </c>
      <c r="C250" s="441">
        <f>C248+C249</f>
        <v>4906605</v>
      </c>
      <c r="D250" s="441">
        <f>LN_IH4+LN_IH5</f>
        <v>5657685</v>
      </c>
      <c r="E250" s="441">
        <f>D250-C250</f>
        <v>751080</v>
      </c>
      <c r="F250" s="449">
        <f>IF(C250=0,0,E250/C250)</f>
        <v>0.15307529340552173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715</v>
      </c>
      <c r="C251" s="441">
        <f>C250*C313</f>
        <v>1380785.4119423637</v>
      </c>
      <c r="D251" s="441">
        <f>LN_IH6*LN_III10</f>
        <v>1647083.5077253631</v>
      </c>
      <c r="E251" s="441">
        <f>D251-C251</f>
        <v>266298.09578299941</v>
      </c>
      <c r="F251" s="449">
        <f>IF(C251=0,0,E251/C251)</f>
        <v>0.19285987053440506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716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652</v>
      </c>
      <c r="C254" s="441">
        <f>C188+C203</f>
        <v>106588733</v>
      </c>
      <c r="D254" s="441">
        <f>LN_IF23</f>
        <v>115602028</v>
      </c>
      <c r="E254" s="441">
        <f>D254-C254</f>
        <v>9013295</v>
      </c>
      <c r="F254" s="449">
        <f>IF(C254=0,0,E254/C254)</f>
        <v>8.4561423579357115E-2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653</v>
      </c>
      <c r="C255" s="441">
        <f>C189+C204</f>
        <v>20366801</v>
      </c>
      <c r="D255" s="441">
        <f>LN_IF24</f>
        <v>21955881</v>
      </c>
      <c r="E255" s="441">
        <f>D255-C255</f>
        <v>1589080</v>
      </c>
      <c r="F255" s="449">
        <f>IF(C255=0,0,E255/C255)</f>
        <v>7.8023053301301465E-2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717</v>
      </c>
      <c r="C256" s="441">
        <f>C254*C313</f>
        <v>29995519.835776392</v>
      </c>
      <c r="D256" s="441">
        <f>LN_IH8*LN_III10</f>
        <v>33654435.299668618</v>
      </c>
      <c r="E256" s="441">
        <f>D256-C256</f>
        <v>3658915.4638922252</v>
      </c>
      <c r="F256" s="449">
        <f>IF(C256=0,0,E256/C256)</f>
        <v>0.12198206545259292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718</v>
      </c>
      <c r="C257" s="441">
        <f>C256-C255</f>
        <v>9628718.8357763924</v>
      </c>
      <c r="D257" s="441">
        <f>LN_IH10-LN_IH9</f>
        <v>11698554.299668618</v>
      </c>
      <c r="E257" s="441">
        <f>D257-C257</f>
        <v>2069835.4638922252</v>
      </c>
      <c r="F257" s="449">
        <f>IF(C257=0,0,E257/C257)</f>
        <v>0.21496478391305401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719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720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212414605</v>
      </c>
      <c r="D261" s="448">
        <f>LN_IA1+LN_IB1+LN_IF1+LN_IG1</f>
        <v>237873801</v>
      </c>
      <c r="E261" s="448">
        <f t="shared" ref="E261:E274" si="26">D261-C261</f>
        <v>25459196</v>
      </c>
      <c r="F261" s="503">
        <f t="shared" ref="F261:F274" si="27">IF(C261=0,0,E261/C261)</f>
        <v>0.1198561464264663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64748718</v>
      </c>
      <c r="D262" s="448">
        <f>+LN_IA2+LN_IB2+LN_IF2+LN_IG2</f>
        <v>77317471</v>
      </c>
      <c r="E262" s="448">
        <f t="shared" si="26"/>
        <v>12568753</v>
      </c>
      <c r="F262" s="503">
        <f t="shared" si="27"/>
        <v>0.19411585878812304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721</v>
      </c>
      <c r="C263" s="453">
        <f>IF(C261=0,0,C262/C261)</f>
        <v>0.3048223449606961</v>
      </c>
      <c r="D263" s="453">
        <f>IF(LN_IIA1=0,0,LN_IIA2/LN_IIA1)</f>
        <v>0.32503567301217839</v>
      </c>
      <c r="E263" s="454">
        <f t="shared" si="26"/>
        <v>2.0213328051482293E-2</v>
      </c>
      <c r="F263" s="458">
        <f t="shared" si="27"/>
        <v>6.6311831746090025E-2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6950</v>
      </c>
      <c r="D264" s="456">
        <f>LN_IA4+LN_IB4+LN_IF4+LN_IG3</f>
        <v>7597</v>
      </c>
      <c r="E264" s="456">
        <f t="shared" si="26"/>
        <v>647</v>
      </c>
      <c r="F264" s="503">
        <f t="shared" si="27"/>
        <v>9.3093525179856113E-2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722</v>
      </c>
      <c r="C265" s="525">
        <f>IF(C264=0,0,C266/C264)</f>
        <v>1.1359687035971224</v>
      </c>
      <c r="D265" s="525">
        <f>IF(LN_IIA4=0,0,LN_IIA6/LN_IIA4)</f>
        <v>1.2021232065288929</v>
      </c>
      <c r="E265" s="525">
        <f t="shared" si="26"/>
        <v>6.6154502931770498E-2</v>
      </c>
      <c r="F265" s="503">
        <f t="shared" si="27"/>
        <v>5.8236202038214391E-2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723</v>
      </c>
      <c r="C266" s="463">
        <f>C20+C47+C193+C226</f>
        <v>7894.9824900000003</v>
      </c>
      <c r="D266" s="463">
        <f>LN_IA6+LN_IB6+LN_IF6+LN_IG5</f>
        <v>9132.5299999999988</v>
      </c>
      <c r="E266" s="463">
        <f t="shared" si="26"/>
        <v>1237.5475099999985</v>
      </c>
      <c r="F266" s="503">
        <f t="shared" si="27"/>
        <v>0.15675114055889419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299395028</v>
      </c>
      <c r="D267" s="448">
        <f>LN_IA11+LN_IB13+LN_IF14+LN_IG9</f>
        <v>314364443</v>
      </c>
      <c r="E267" s="448">
        <f t="shared" si="26"/>
        <v>14969415</v>
      </c>
      <c r="F267" s="503">
        <f t="shared" si="27"/>
        <v>4.9998876400846576E-2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648</v>
      </c>
      <c r="C268" s="453">
        <f>IF(C261=0,0,C267/C261)</f>
        <v>1.4094841924829038</v>
      </c>
      <c r="D268" s="453">
        <f>IF(LN_IIA1=0,0,LN_IIA7/LN_IIA1)</f>
        <v>1.3215597584872325</v>
      </c>
      <c r="E268" s="454">
        <f t="shared" si="26"/>
        <v>-8.7924433995671292E-2</v>
      </c>
      <c r="F268" s="458">
        <f t="shared" si="27"/>
        <v>-6.2380574726976064E-2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79281477</v>
      </c>
      <c r="D269" s="448">
        <f>LN_IA12+LN_IB14+LN_IF15+LN_IG10</f>
        <v>83451908</v>
      </c>
      <c r="E269" s="448">
        <f t="shared" si="26"/>
        <v>4170431</v>
      </c>
      <c r="F269" s="503">
        <f t="shared" si="27"/>
        <v>5.2602841897105422E-2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647</v>
      </c>
      <c r="C270" s="453">
        <f>IF(C267=0,0,C269/C267)</f>
        <v>0.26480558989109199</v>
      </c>
      <c r="D270" s="453">
        <f>IF(LN_IIA7=0,0,LN_IIA9/LN_IIA7)</f>
        <v>0.26546229975506486</v>
      </c>
      <c r="E270" s="454">
        <f t="shared" si="26"/>
        <v>6.5670986397287079E-4</v>
      </c>
      <c r="F270" s="458">
        <f t="shared" si="27"/>
        <v>2.479969793095982E-3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724</v>
      </c>
      <c r="C271" s="441">
        <f>C261+C267</f>
        <v>511809633</v>
      </c>
      <c r="D271" s="441">
        <f>LN_IIA1+LN_IIA7</f>
        <v>552238244</v>
      </c>
      <c r="E271" s="441">
        <f t="shared" si="26"/>
        <v>40428611</v>
      </c>
      <c r="F271" s="503">
        <f t="shared" si="27"/>
        <v>7.8991500732460806E-2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725</v>
      </c>
      <c r="C272" s="441">
        <f>C262+C269</f>
        <v>144030195</v>
      </c>
      <c r="D272" s="441">
        <f>LN_IIA2+LN_IIA9</f>
        <v>160769379</v>
      </c>
      <c r="E272" s="441">
        <f t="shared" si="26"/>
        <v>16739184</v>
      </c>
      <c r="F272" s="503">
        <f t="shared" si="27"/>
        <v>0.11621996345974536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726</v>
      </c>
      <c r="C273" s="453">
        <f>IF(C271=0,0,C272/C271)</f>
        <v>0.28141360715654995</v>
      </c>
      <c r="D273" s="453">
        <f>IF(LN_IIA11=0,0,LN_IIA12/LN_IIA11)</f>
        <v>0.29112322579382965</v>
      </c>
      <c r="E273" s="454">
        <f t="shared" si="26"/>
        <v>9.7096186372797044E-3</v>
      </c>
      <c r="F273" s="458">
        <f t="shared" si="27"/>
        <v>3.4503017588194511E-2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30594</v>
      </c>
      <c r="D274" s="508">
        <f>LN_IA8+LN_IB10+LN_IF11+LN_IG6</f>
        <v>31732</v>
      </c>
      <c r="E274" s="528">
        <f t="shared" si="26"/>
        <v>1138</v>
      </c>
      <c r="F274" s="458">
        <f t="shared" si="27"/>
        <v>3.7196835980911287E-2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727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728</v>
      </c>
      <c r="C277" s="448">
        <f>C15+C188+C221</f>
        <v>158818374</v>
      </c>
      <c r="D277" s="448">
        <f>LN_IA1+LN_IF1+LN_IG1</f>
        <v>172612160</v>
      </c>
      <c r="E277" s="448">
        <f t="shared" ref="E277:E291" si="28">D277-C277</f>
        <v>13793786</v>
      </c>
      <c r="F277" s="503">
        <f t="shared" ref="F277:F291" si="29">IF(C277=0,0,E277/C277)</f>
        <v>8.6852582938545891E-2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729</v>
      </c>
      <c r="C278" s="448">
        <f>C16+C189+C222</f>
        <v>42603115</v>
      </c>
      <c r="D278" s="448">
        <f>LN_IA2+LN_IF2+LN_IG2</f>
        <v>50062241</v>
      </c>
      <c r="E278" s="448">
        <f t="shared" si="28"/>
        <v>7459126</v>
      </c>
      <c r="F278" s="503">
        <f t="shared" si="29"/>
        <v>0.17508405195253915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730</v>
      </c>
      <c r="C279" s="453">
        <f>IF(C277=0,0,C278/C277)</f>
        <v>0.2682505425977979</v>
      </c>
      <c r="D279" s="453">
        <f>IF(D277=0,0,LN_IIB2/D277)</f>
        <v>0.29002731325533498</v>
      </c>
      <c r="E279" s="454">
        <f t="shared" si="28"/>
        <v>2.1776770657537081E-2</v>
      </c>
      <c r="F279" s="458">
        <f t="shared" si="29"/>
        <v>8.1180714292862152E-2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731</v>
      </c>
      <c r="C280" s="456">
        <f>C18+C191+C224</f>
        <v>4920</v>
      </c>
      <c r="D280" s="456">
        <f>LN_IA4+LN_IF4+LN_IG3</f>
        <v>5230</v>
      </c>
      <c r="E280" s="456">
        <f t="shared" si="28"/>
        <v>310</v>
      </c>
      <c r="F280" s="503">
        <f t="shared" si="29"/>
        <v>6.3008130081300809E-2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732</v>
      </c>
      <c r="C281" s="525">
        <f>IF(C280=0,0,C282/C280)</f>
        <v>1.171975912601626</v>
      </c>
      <c r="D281" s="525">
        <f>IF(LN_IIB4=0,0,LN_IIB6/LN_IIB4)</f>
        <v>1.2347648183556406</v>
      </c>
      <c r="E281" s="525">
        <f t="shared" si="28"/>
        <v>6.2788905754014523E-2</v>
      </c>
      <c r="F281" s="503">
        <f t="shared" si="29"/>
        <v>5.3575252766613395E-2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733</v>
      </c>
      <c r="C282" s="463">
        <f>C20+C193+C226</f>
        <v>5766.1214900000004</v>
      </c>
      <c r="D282" s="463">
        <f>LN_IA6+LN_IF6+LN_IG5</f>
        <v>6457.82</v>
      </c>
      <c r="E282" s="463">
        <f t="shared" si="28"/>
        <v>691.69850999999926</v>
      </c>
      <c r="F282" s="503">
        <f t="shared" si="29"/>
        <v>0.11995905934337142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734</v>
      </c>
      <c r="C283" s="448">
        <f>C27+C203+C233</f>
        <v>175385853</v>
      </c>
      <c r="D283" s="448">
        <f>LN_IA11+LN_IF14+LN_IG9</f>
        <v>184101582</v>
      </c>
      <c r="E283" s="448">
        <f t="shared" si="28"/>
        <v>8715729</v>
      </c>
      <c r="F283" s="503">
        <f t="shared" si="29"/>
        <v>4.969459537879603E-2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735</v>
      </c>
      <c r="C284" s="453">
        <f>IF(C277=0,0,C283/C277)</f>
        <v>1.104317142801122</v>
      </c>
      <c r="D284" s="453">
        <f>IF(D277=0,0,LN_IIB7/D277)</f>
        <v>1.0665620660792381</v>
      </c>
      <c r="E284" s="454">
        <f t="shared" si="28"/>
        <v>-3.775507672188394E-2</v>
      </c>
      <c r="F284" s="458">
        <f t="shared" si="29"/>
        <v>-3.4188617796983074E-2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736</v>
      </c>
      <c r="C285" s="448">
        <f>C28+C204+C234</f>
        <v>32913582</v>
      </c>
      <c r="D285" s="448">
        <f>LN_IA12+LN_IF15+LN_IG10</f>
        <v>34551493</v>
      </c>
      <c r="E285" s="448">
        <f t="shared" si="28"/>
        <v>1637911</v>
      </c>
      <c r="F285" s="503">
        <f t="shared" si="29"/>
        <v>4.9763984971310626E-2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737</v>
      </c>
      <c r="C286" s="453">
        <f>IF(C283=0,0,C285/C283)</f>
        <v>0.18766383626163965</v>
      </c>
      <c r="D286" s="453">
        <f>IF(LN_IIB7=0,0,LN_IIB9/LN_IIB7)</f>
        <v>0.18767624169573949</v>
      </c>
      <c r="E286" s="454">
        <f t="shared" si="28"/>
        <v>1.2405434099832524E-5</v>
      </c>
      <c r="F286" s="458">
        <f t="shared" si="29"/>
        <v>6.6104553476872084E-5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738</v>
      </c>
      <c r="C287" s="441">
        <f>C277+C283</f>
        <v>334204227</v>
      </c>
      <c r="D287" s="441">
        <f>D277+LN_IIB7</f>
        <v>356713742</v>
      </c>
      <c r="E287" s="441">
        <f t="shared" si="28"/>
        <v>22509515</v>
      </c>
      <c r="F287" s="503">
        <f t="shared" si="29"/>
        <v>6.735257420906289E-2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739</v>
      </c>
      <c r="C288" s="441">
        <f>C278+C285</f>
        <v>75516697</v>
      </c>
      <c r="D288" s="441">
        <f>LN_IIB2+LN_IIB9</f>
        <v>84613734</v>
      </c>
      <c r="E288" s="441">
        <f t="shared" si="28"/>
        <v>9097037</v>
      </c>
      <c r="F288" s="503">
        <f t="shared" si="29"/>
        <v>0.12046391541727521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740</v>
      </c>
      <c r="C289" s="453">
        <f>IF(C287=0,0,C288/C287)</f>
        <v>0.22595973030586475</v>
      </c>
      <c r="D289" s="453">
        <f>IF(LN_IIB11=0,0,LN_IIB12/LN_IIB11)</f>
        <v>0.23720346047111357</v>
      </c>
      <c r="E289" s="454">
        <f t="shared" si="28"/>
        <v>1.1243730165248822E-2</v>
      </c>
      <c r="F289" s="458">
        <f t="shared" si="29"/>
        <v>4.9759884869879367E-2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23262</v>
      </c>
      <c r="D290" s="508">
        <f>LN_IA8+LN_IF11+LN_IG6</f>
        <v>23779</v>
      </c>
      <c r="E290" s="528">
        <f t="shared" si="28"/>
        <v>517</v>
      </c>
      <c r="F290" s="458">
        <f t="shared" si="29"/>
        <v>2.2225088126558337E-2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741</v>
      </c>
      <c r="C291" s="448">
        <f>C287-C288</f>
        <v>258687530</v>
      </c>
      <c r="D291" s="516">
        <f>LN_IIB11-LN_IIB12</f>
        <v>272100008</v>
      </c>
      <c r="E291" s="441">
        <f t="shared" si="28"/>
        <v>13412478</v>
      </c>
      <c r="F291" s="503">
        <f t="shared" si="29"/>
        <v>5.1848181472063999E-2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643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634</v>
      </c>
      <c r="C294" s="466">
        <f>IF(C18=0,0,C22/C18)</f>
        <v>4.8975494537939177</v>
      </c>
      <c r="D294" s="466">
        <f>IF(LN_IA4=0,0,LN_IA8/LN_IA4)</f>
        <v>4.7615857063093241</v>
      </c>
      <c r="E294" s="466">
        <f t="shared" ref="E294:E300" si="30">D294-C294</f>
        <v>-0.13596374748459361</v>
      </c>
      <c r="F294" s="503">
        <f t="shared" ref="F294:F300" si="31">IF(C294=0,0,E294/C294)</f>
        <v>-2.7761587456614334E-2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655</v>
      </c>
      <c r="C295" s="466">
        <f>IF(C45=0,0,C51/C45)</f>
        <v>3.6118226600985222</v>
      </c>
      <c r="D295" s="466">
        <f>IF(LN_IB4=0,0,(LN_IB10)/(LN_IB4))</f>
        <v>3.3599493029150822</v>
      </c>
      <c r="E295" s="466">
        <f t="shared" si="30"/>
        <v>-0.25187335718343995</v>
      </c>
      <c r="F295" s="503">
        <f t="shared" si="31"/>
        <v>-6.9735804021056072E-2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670</v>
      </c>
      <c r="C296" s="466">
        <f>IF(C86=0,0,C93/C86)</f>
        <v>2.2727272727272729</v>
      </c>
      <c r="D296" s="466">
        <f>IF(LN_IC4=0,0,LN_IC11/LN_IC4)</f>
        <v>2.263157894736842</v>
      </c>
      <c r="E296" s="466">
        <f t="shared" si="30"/>
        <v>-9.569377990430894E-3</v>
      </c>
      <c r="F296" s="503">
        <f t="shared" si="31"/>
        <v>-4.2105263157895933E-3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4.3650689428759026</v>
      </c>
      <c r="D297" s="466">
        <f>IF(LN_ID4=0,0,LN_ID11/LN_ID4)</f>
        <v>4.0897435897435894</v>
      </c>
      <c r="E297" s="466">
        <f t="shared" si="30"/>
        <v>-0.27532535313231321</v>
      </c>
      <c r="F297" s="503">
        <f t="shared" si="31"/>
        <v>-6.3074686044000156E-2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742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2.6</v>
      </c>
      <c r="D299" s="466">
        <f>IF(LN_IG3=0,0,LN_IG6/LN_IG3)</f>
        <v>2.4</v>
      </c>
      <c r="E299" s="466">
        <f t="shared" si="30"/>
        <v>-0.20000000000000018</v>
      </c>
      <c r="F299" s="503">
        <f t="shared" si="31"/>
        <v>-7.6923076923076983E-2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743</v>
      </c>
      <c r="C300" s="466">
        <f>IF(C264=0,0,C274/C264)</f>
        <v>4.4020143884892082</v>
      </c>
      <c r="D300" s="466">
        <f>IF(LN_IIA4=0,0,LN_IIA14/LN_IIA4)</f>
        <v>4.1769119389232587</v>
      </c>
      <c r="E300" s="466">
        <f t="shared" si="30"/>
        <v>-0.22510244956594949</v>
      </c>
      <c r="F300" s="503">
        <f t="shared" si="31"/>
        <v>-5.1136236663507521E-2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744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738</v>
      </c>
      <c r="C304" s="441">
        <f>C35+C66+C214+C221+C233</f>
        <v>511809633</v>
      </c>
      <c r="D304" s="441">
        <f>LN_IIA11</f>
        <v>552238244</v>
      </c>
      <c r="E304" s="441">
        <f t="shared" ref="E304:E316" si="32">D304-C304</f>
        <v>40428611</v>
      </c>
      <c r="F304" s="449">
        <f>IF(C304=0,0,E304/C304)</f>
        <v>7.8991500732460806E-2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741</v>
      </c>
      <c r="C305" s="441">
        <f>C291</f>
        <v>258687530</v>
      </c>
      <c r="D305" s="441">
        <f>LN_IIB14</f>
        <v>272100008</v>
      </c>
      <c r="E305" s="441">
        <f t="shared" si="32"/>
        <v>13412478</v>
      </c>
      <c r="F305" s="449">
        <f>IF(C305=0,0,E305/C305)</f>
        <v>5.1848181472063999E-2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745</v>
      </c>
      <c r="C306" s="441">
        <f>C250</f>
        <v>4906605</v>
      </c>
      <c r="D306" s="441">
        <f>LN_IH6</f>
        <v>5657685</v>
      </c>
      <c r="E306" s="441">
        <f t="shared" si="32"/>
        <v>751080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746</v>
      </c>
      <c r="C307" s="441">
        <f>C73-C74</f>
        <v>104185303</v>
      </c>
      <c r="D307" s="441">
        <f>LN_IB32-LN_IB33</f>
        <v>113711172</v>
      </c>
      <c r="E307" s="441">
        <f t="shared" si="32"/>
        <v>9525869</v>
      </c>
      <c r="F307" s="449">
        <f t="shared" ref="F307:F316" si="33">IF(C307=0,0,E307/C307)</f>
        <v>9.1431984413386985E-2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747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748</v>
      </c>
      <c r="C309" s="441">
        <f>C305+C307+C308+C306</f>
        <v>367779438</v>
      </c>
      <c r="D309" s="441">
        <f>LN_III2+LN_III3+LN_III4+LN_III5</f>
        <v>391468865</v>
      </c>
      <c r="E309" s="441">
        <f t="shared" si="32"/>
        <v>23689427</v>
      </c>
      <c r="F309" s="449">
        <f t="shared" si="33"/>
        <v>6.4412048506094027E-2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749</v>
      </c>
      <c r="C310" s="441">
        <f>C304-C309</f>
        <v>144030195</v>
      </c>
      <c r="D310" s="441">
        <f>LN_III1-LN_III6</f>
        <v>160769379</v>
      </c>
      <c r="E310" s="441">
        <f t="shared" si="32"/>
        <v>16739184</v>
      </c>
      <c r="F310" s="449">
        <f t="shared" si="33"/>
        <v>0.11621996345974536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750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751</v>
      </c>
      <c r="C312" s="441">
        <f>C310+C311</f>
        <v>144030195</v>
      </c>
      <c r="D312" s="441">
        <f>LN_III7+LN_III8</f>
        <v>160769379</v>
      </c>
      <c r="E312" s="441">
        <f t="shared" si="32"/>
        <v>16739184</v>
      </c>
      <c r="F312" s="449">
        <f t="shared" si="33"/>
        <v>0.11621996345974536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752</v>
      </c>
      <c r="C313" s="532">
        <f>IF(C304=0,0,C312/C304)</f>
        <v>0.28141360715654995</v>
      </c>
      <c r="D313" s="532">
        <f>IF(LN_III1=0,0,LN_III9/LN_III1)</f>
        <v>0.29112322579382965</v>
      </c>
      <c r="E313" s="532">
        <f t="shared" si="32"/>
        <v>9.7096186372797044E-3</v>
      </c>
      <c r="F313" s="449">
        <f t="shared" si="33"/>
        <v>3.4503017588194511E-2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715</v>
      </c>
      <c r="C314" s="441">
        <f>C306*C313</f>
        <v>1380785.4119423637</v>
      </c>
      <c r="D314" s="441">
        <f>D313*LN_III5</f>
        <v>1647083.5077253631</v>
      </c>
      <c r="E314" s="441">
        <f t="shared" si="32"/>
        <v>266298.09578299941</v>
      </c>
      <c r="F314" s="449">
        <f t="shared" si="33"/>
        <v>0.19285987053440506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718</v>
      </c>
      <c r="C315" s="441">
        <f>(C214*C313)-C215</f>
        <v>9628718.8357763924</v>
      </c>
      <c r="D315" s="441">
        <f>D313*LN_IH8-LN_IH9</f>
        <v>11698554.299668618</v>
      </c>
      <c r="E315" s="441">
        <f t="shared" si="32"/>
        <v>2069835.4638922252</v>
      </c>
      <c r="F315" s="449">
        <f t="shared" si="33"/>
        <v>0.21496478391305401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753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754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755</v>
      </c>
      <c r="C318" s="441">
        <f>C314+C315+C316</f>
        <v>11009504.247718755</v>
      </c>
      <c r="D318" s="441">
        <f>D314+D315+D316</f>
        <v>13345637.807393981</v>
      </c>
      <c r="E318" s="441">
        <f>D318-C318</f>
        <v>2336133.559675226</v>
      </c>
      <c r="F318" s="449">
        <f>IF(C318=0,0,E318/C318)</f>
        <v>0.21219243910635566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756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7776107.3073164253</v>
      </c>
      <c r="D322" s="441">
        <f>LN_ID22</f>
        <v>9532744.8492364585</v>
      </c>
      <c r="E322" s="441">
        <f>LN_IV2-C322</f>
        <v>1756637.5419200333</v>
      </c>
      <c r="F322" s="449">
        <f>IF(C322=0,0,E322/C322)</f>
        <v>0.22590191627978679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742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757</v>
      </c>
      <c r="C324" s="441">
        <f>C92+C106</f>
        <v>404830.13314377214</v>
      </c>
      <c r="D324" s="441">
        <f>LN_IC10+LN_IC22</f>
        <v>795445.1689222483</v>
      </c>
      <c r="E324" s="441">
        <f>LN_IV1-C324</f>
        <v>390615.03577847616</v>
      </c>
      <c r="F324" s="449">
        <f>IF(C324=0,0,E324/C324)</f>
        <v>0.96488626660543675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758</v>
      </c>
      <c r="C325" s="516">
        <f>C324+C322+C323</f>
        <v>8180937.4404601976</v>
      </c>
      <c r="D325" s="516">
        <f>LN_IV1+LN_IV2+LN_IV3</f>
        <v>10328190.018158708</v>
      </c>
      <c r="E325" s="441">
        <f>LN_IV4-C325</f>
        <v>2147252.5776985101</v>
      </c>
      <c r="F325" s="449">
        <f>IF(C325=0,0,E325/C325)</f>
        <v>0.2624702356332555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759</v>
      </c>
      <c r="B327" s="530" t="s">
        <v>760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761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762</v>
      </c>
      <c r="C330" s="516">
        <v>-1080839</v>
      </c>
      <c r="D330" s="516">
        <v>-1754760</v>
      </c>
      <c r="E330" s="518">
        <f t="shared" si="34"/>
        <v>-673921</v>
      </c>
      <c r="F330" s="543">
        <f t="shared" si="35"/>
        <v>0.62351654594255024</v>
      </c>
    </row>
    <row r="331" spans="1:22" s="420" customFormat="1" ht="15.75" customHeight="1" x14ac:dyDescent="0.2">
      <c r="A331" s="427">
        <v>3</v>
      </c>
      <c r="B331" s="447" t="s">
        <v>763</v>
      </c>
      <c r="C331" s="516">
        <v>142949359</v>
      </c>
      <c r="D331" s="516">
        <v>159014625</v>
      </c>
      <c r="E331" s="518">
        <f t="shared" si="34"/>
        <v>16065266</v>
      </c>
      <c r="F331" s="542">
        <f t="shared" si="35"/>
        <v>0.1123843164627272</v>
      </c>
    </row>
    <row r="332" spans="1:22" s="420" customFormat="1" ht="27" customHeight="1" x14ac:dyDescent="0.2">
      <c r="A332" s="451">
        <v>4</v>
      </c>
      <c r="B332" s="447" t="s">
        <v>764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765</v>
      </c>
      <c r="C333" s="516">
        <v>511809632</v>
      </c>
      <c r="D333" s="516">
        <v>552238245</v>
      </c>
      <c r="E333" s="518">
        <f t="shared" si="34"/>
        <v>40428613</v>
      </c>
      <c r="F333" s="542">
        <f t="shared" si="35"/>
        <v>7.8991504794501399E-2</v>
      </c>
    </row>
    <row r="334" spans="1:22" s="420" customFormat="1" ht="15.75" customHeight="1" x14ac:dyDescent="0.2">
      <c r="A334" s="427">
        <v>6</v>
      </c>
      <c r="B334" s="447" t="s">
        <v>766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767</v>
      </c>
      <c r="C335" s="516">
        <v>4906605</v>
      </c>
      <c r="D335" s="516">
        <v>5657685</v>
      </c>
      <c r="E335" s="516">
        <f t="shared" si="34"/>
        <v>751080</v>
      </c>
      <c r="F335" s="542">
        <f t="shared" si="35"/>
        <v>0.15307529340552173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75" bottom="0.75" header="0.3" footer="0.3"/>
  <pageSetup scale="81" fitToHeight="0" orientation="portrait" r:id="rId1"/>
  <headerFooter>
    <oddHeader>&amp;LOFFICE OF HEALTH CARE ACCESS&amp;CTWELVE MONTHS ACTUAL FILING&amp;RGRIFFIN HOSPITAL</oddHeader>
    <oddFooter>&amp;L&amp;"Arial,Regular"REPORT 500&amp;C&amp;"Arial,Regular"&amp;P of &amp;N&amp;R&amp;"Arial,Regular"&amp;D,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topLeftCell="A16"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628</v>
      </c>
      <c r="B3" s="820"/>
      <c r="C3" s="820"/>
      <c r="D3" s="820"/>
      <c r="E3" s="820"/>
    </row>
    <row r="4" spans="1:5" s="428" customFormat="1" ht="15.75" customHeight="1" x14ac:dyDescent="0.25">
      <c r="A4" s="820" t="s">
        <v>768</v>
      </c>
      <c r="B4" s="820"/>
      <c r="C4" s="820"/>
      <c r="D4" s="820"/>
      <c r="E4" s="820"/>
    </row>
    <row r="5" spans="1:5" s="428" customFormat="1" ht="15.75" customHeight="1" x14ac:dyDescent="0.25">
      <c r="A5" s="820" t="s">
        <v>769</v>
      </c>
      <c r="B5" s="820"/>
      <c r="C5" s="820"/>
      <c r="D5" s="820"/>
      <c r="E5" s="820"/>
    </row>
    <row r="6" spans="1:5" s="428" customFormat="1" ht="15.75" customHeight="1" x14ac:dyDescent="0.25">
      <c r="A6" s="820" t="s">
        <v>770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771</v>
      </c>
      <c r="D9" s="573" t="s">
        <v>772</v>
      </c>
      <c r="E9" s="573" t="s">
        <v>773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774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775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655</v>
      </c>
      <c r="C14" s="589">
        <v>53596231</v>
      </c>
      <c r="D14" s="589">
        <v>65261641</v>
      </c>
      <c r="E14" s="590">
        <f t="shared" ref="E14:E22" si="0">D14-C14</f>
        <v>11665410</v>
      </c>
    </row>
    <row r="15" spans="1:5" s="421" customFormat="1" x14ac:dyDescent="0.2">
      <c r="A15" s="588">
        <v>2</v>
      </c>
      <c r="B15" s="587" t="s">
        <v>634</v>
      </c>
      <c r="C15" s="589">
        <v>122178231</v>
      </c>
      <c r="D15" s="591">
        <v>133443109</v>
      </c>
      <c r="E15" s="590">
        <f t="shared" si="0"/>
        <v>11264878</v>
      </c>
    </row>
    <row r="16" spans="1:5" s="421" customFormat="1" x14ac:dyDescent="0.2">
      <c r="A16" s="588">
        <v>3</v>
      </c>
      <c r="B16" s="587" t="s">
        <v>776</v>
      </c>
      <c r="C16" s="589">
        <v>36492468</v>
      </c>
      <c r="D16" s="591">
        <v>39002367</v>
      </c>
      <c r="E16" s="590">
        <f t="shared" si="0"/>
        <v>2509899</v>
      </c>
    </row>
    <row r="17" spans="1:5" s="421" customFormat="1" x14ac:dyDescent="0.2">
      <c r="A17" s="588">
        <v>4</v>
      </c>
      <c r="B17" s="587" t="s">
        <v>115</v>
      </c>
      <c r="C17" s="589">
        <v>36492468</v>
      </c>
      <c r="D17" s="591">
        <v>39002367</v>
      </c>
      <c r="E17" s="590">
        <f t="shared" si="0"/>
        <v>2509899</v>
      </c>
    </row>
    <row r="18" spans="1:5" s="421" customFormat="1" x14ac:dyDescent="0.2">
      <c r="A18" s="588">
        <v>5</v>
      </c>
      <c r="B18" s="587" t="s">
        <v>742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147675</v>
      </c>
      <c r="D19" s="591">
        <v>166684</v>
      </c>
      <c r="E19" s="590">
        <f t="shared" si="0"/>
        <v>19009</v>
      </c>
    </row>
    <row r="20" spans="1:5" s="421" customFormat="1" x14ac:dyDescent="0.2">
      <c r="A20" s="588">
        <v>7</v>
      </c>
      <c r="B20" s="587" t="s">
        <v>757</v>
      </c>
      <c r="C20" s="589">
        <v>295352</v>
      </c>
      <c r="D20" s="591">
        <v>391041</v>
      </c>
      <c r="E20" s="590">
        <f t="shared" si="0"/>
        <v>95689</v>
      </c>
    </row>
    <row r="21" spans="1:5" s="421" customFormat="1" x14ac:dyDescent="0.2">
      <c r="A21" s="588"/>
      <c r="B21" s="592" t="s">
        <v>777</v>
      </c>
      <c r="C21" s="593">
        <f>SUM(C15+C16+C19)</f>
        <v>158818374</v>
      </c>
      <c r="D21" s="593">
        <f>SUM(D15+D16+D19)</f>
        <v>172612160</v>
      </c>
      <c r="E21" s="593">
        <f t="shared" si="0"/>
        <v>13793786</v>
      </c>
    </row>
    <row r="22" spans="1:5" s="421" customFormat="1" x14ac:dyDescent="0.2">
      <c r="A22" s="588"/>
      <c r="B22" s="592" t="s">
        <v>465</v>
      </c>
      <c r="C22" s="593">
        <f>SUM(C14+C21)</f>
        <v>212414605</v>
      </c>
      <c r="D22" s="593">
        <f>SUM(D14+D21)</f>
        <v>237873801</v>
      </c>
      <c r="E22" s="593">
        <f t="shared" si="0"/>
        <v>25459196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778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655</v>
      </c>
      <c r="C25" s="589">
        <v>124009175</v>
      </c>
      <c r="D25" s="589">
        <v>130262861</v>
      </c>
      <c r="E25" s="590">
        <f t="shared" ref="E25:E33" si="1">D25-C25</f>
        <v>6253686</v>
      </c>
    </row>
    <row r="26" spans="1:5" s="421" customFormat="1" x14ac:dyDescent="0.2">
      <c r="A26" s="588">
        <v>2</v>
      </c>
      <c r="B26" s="587" t="s">
        <v>634</v>
      </c>
      <c r="C26" s="589">
        <v>104874412</v>
      </c>
      <c r="D26" s="591">
        <v>107113488</v>
      </c>
      <c r="E26" s="590">
        <f t="shared" si="1"/>
        <v>2239076</v>
      </c>
    </row>
    <row r="27" spans="1:5" s="421" customFormat="1" x14ac:dyDescent="0.2">
      <c r="A27" s="588">
        <v>3</v>
      </c>
      <c r="B27" s="587" t="s">
        <v>776</v>
      </c>
      <c r="C27" s="589">
        <v>70096265</v>
      </c>
      <c r="D27" s="591">
        <v>76599661</v>
      </c>
      <c r="E27" s="590">
        <f t="shared" si="1"/>
        <v>6503396</v>
      </c>
    </row>
    <row r="28" spans="1:5" s="421" customFormat="1" x14ac:dyDescent="0.2">
      <c r="A28" s="588">
        <v>4</v>
      </c>
      <c r="B28" s="587" t="s">
        <v>115</v>
      </c>
      <c r="C28" s="589">
        <v>70096265</v>
      </c>
      <c r="D28" s="591">
        <v>76599661</v>
      </c>
      <c r="E28" s="590">
        <f t="shared" si="1"/>
        <v>6503396</v>
      </c>
    </row>
    <row r="29" spans="1:5" s="421" customFormat="1" x14ac:dyDescent="0.2">
      <c r="A29" s="588">
        <v>5</v>
      </c>
      <c r="B29" s="587" t="s">
        <v>742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415176</v>
      </c>
      <c r="D30" s="591">
        <v>388433</v>
      </c>
      <c r="E30" s="590">
        <f t="shared" si="1"/>
        <v>-26743</v>
      </c>
    </row>
    <row r="31" spans="1:5" s="421" customFormat="1" x14ac:dyDescent="0.2">
      <c r="A31" s="588">
        <v>7</v>
      </c>
      <c r="B31" s="587" t="s">
        <v>757</v>
      </c>
      <c r="C31" s="590">
        <v>2562693</v>
      </c>
      <c r="D31" s="594">
        <v>2696497</v>
      </c>
      <c r="E31" s="590">
        <f t="shared" si="1"/>
        <v>133804</v>
      </c>
    </row>
    <row r="32" spans="1:5" s="421" customFormat="1" x14ac:dyDescent="0.2">
      <c r="A32" s="588"/>
      <c r="B32" s="592" t="s">
        <v>779</v>
      </c>
      <c r="C32" s="593">
        <f>SUM(C26+C27+C30)</f>
        <v>175385853</v>
      </c>
      <c r="D32" s="593">
        <f>SUM(D26+D27+D30)</f>
        <v>184101582</v>
      </c>
      <c r="E32" s="593">
        <f t="shared" si="1"/>
        <v>8715729</v>
      </c>
    </row>
    <row r="33" spans="1:5" s="421" customFormat="1" x14ac:dyDescent="0.2">
      <c r="A33" s="588"/>
      <c r="B33" s="592" t="s">
        <v>467</v>
      </c>
      <c r="C33" s="593">
        <f>SUM(C25+C32)</f>
        <v>299395028</v>
      </c>
      <c r="D33" s="593">
        <f>SUM(D25+D32)</f>
        <v>314364443</v>
      </c>
      <c r="E33" s="593">
        <f t="shared" si="1"/>
        <v>14969415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652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780</v>
      </c>
      <c r="C36" s="590">
        <f t="shared" ref="C36:D42" si="2">C14+C25</f>
        <v>177605406</v>
      </c>
      <c r="D36" s="590">
        <f t="shared" si="2"/>
        <v>195524502</v>
      </c>
      <c r="E36" s="590">
        <f t="shared" ref="E36:E44" si="3">D36-C36</f>
        <v>17919096</v>
      </c>
    </row>
    <row r="37" spans="1:5" s="421" customFormat="1" x14ac:dyDescent="0.2">
      <c r="A37" s="588">
        <v>2</v>
      </c>
      <c r="B37" s="587" t="s">
        <v>781</v>
      </c>
      <c r="C37" s="590">
        <f t="shared" si="2"/>
        <v>227052643</v>
      </c>
      <c r="D37" s="590">
        <f t="shared" si="2"/>
        <v>240556597</v>
      </c>
      <c r="E37" s="590">
        <f t="shared" si="3"/>
        <v>13503954</v>
      </c>
    </row>
    <row r="38" spans="1:5" s="421" customFormat="1" x14ac:dyDescent="0.2">
      <c r="A38" s="588">
        <v>3</v>
      </c>
      <c r="B38" s="587" t="s">
        <v>782</v>
      </c>
      <c r="C38" s="590">
        <f t="shared" si="2"/>
        <v>106588733</v>
      </c>
      <c r="D38" s="590">
        <f t="shared" si="2"/>
        <v>115602028</v>
      </c>
      <c r="E38" s="590">
        <f t="shared" si="3"/>
        <v>9013295</v>
      </c>
    </row>
    <row r="39" spans="1:5" s="421" customFormat="1" x14ac:dyDescent="0.2">
      <c r="A39" s="588">
        <v>4</v>
      </c>
      <c r="B39" s="587" t="s">
        <v>783</v>
      </c>
      <c r="C39" s="590">
        <f t="shared" si="2"/>
        <v>106588733</v>
      </c>
      <c r="D39" s="590">
        <f t="shared" si="2"/>
        <v>115602028</v>
      </c>
      <c r="E39" s="590">
        <f t="shared" si="3"/>
        <v>9013295</v>
      </c>
    </row>
    <row r="40" spans="1:5" s="421" customFormat="1" x14ac:dyDescent="0.2">
      <c r="A40" s="588">
        <v>5</v>
      </c>
      <c r="B40" s="587" t="s">
        <v>784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785</v>
      </c>
      <c r="C41" s="590">
        <f t="shared" si="2"/>
        <v>562851</v>
      </c>
      <c r="D41" s="590">
        <f t="shared" si="2"/>
        <v>555117</v>
      </c>
      <c r="E41" s="590">
        <f t="shared" si="3"/>
        <v>-7734</v>
      </c>
    </row>
    <row r="42" spans="1:5" s="421" customFormat="1" x14ac:dyDescent="0.2">
      <c r="A42" s="588">
        <v>7</v>
      </c>
      <c r="B42" s="587" t="s">
        <v>786</v>
      </c>
      <c r="C42" s="590">
        <f t="shared" si="2"/>
        <v>2858045</v>
      </c>
      <c r="D42" s="590">
        <f t="shared" si="2"/>
        <v>3087538</v>
      </c>
      <c r="E42" s="590">
        <f t="shared" si="3"/>
        <v>229493</v>
      </c>
    </row>
    <row r="43" spans="1:5" s="421" customFormat="1" x14ac:dyDescent="0.2">
      <c r="A43" s="588"/>
      <c r="B43" s="592" t="s">
        <v>787</v>
      </c>
      <c r="C43" s="593">
        <f>SUM(C37+C38+C41)</f>
        <v>334204227</v>
      </c>
      <c r="D43" s="593">
        <f>SUM(D37+D38+D41)</f>
        <v>356713742</v>
      </c>
      <c r="E43" s="593">
        <f t="shared" si="3"/>
        <v>22509515</v>
      </c>
    </row>
    <row r="44" spans="1:5" s="421" customFormat="1" x14ac:dyDescent="0.2">
      <c r="A44" s="588"/>
      <c r="B44" s="592" t="s">
        <v>724</v>
      </c>
      <c r="C44" s="593">
        <f>SUM(C36+C43)</f>
        <v>511809633</v>
      </c>
      <c r="D44" s="593">
        <f>SUM(D36+D43)</f>
        <v>552238244</v>
      </c>
      <c r="E44" s="593">
        <f t="shared" si="3"/>
        <v>40428611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788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655</v>
      </c>
      <c r="C47" s="589">
        <v>22145603</v>
      </c>
      <c r="D47" s="589">
        <v>27255230</v>
      </c>
      <c r="E47" s="590">
        <f t="shared" ref="E47:E55" si="4">D47-C47</f>
        <v>5109627</v>
      </c>
    </row>
    <row r="48" spans="1:5" s="421" customFormat="1" x14ac:dyDescent="0.2">
      <c r="A48" s="588">
        <v>2</v>
      </c>
      <c r="B48" s="587" t="s">
        <v>634</v>
      </c>
      <c r="C48" s="589">
        <v>34829776</v>
      </c>
      <c r="D48" s="591">
        <v>41480429</v>
      </c>
      <c r="E48" s="590">
        <f t="shared" si="4"/>
        <v>6650653</v>
      </c>
    </row>
    <row r="49" spans="1:5" s="421" customFormat="1" x14ac:dyDescent="0.2">
      <c r="A49" s="588">
        <v>3</v>
      </c>
      <c r="B49" s="587" t="s">
        <v>776</v>
      </c>
      <c r="C49" s="589">
        <v>7773339</v>
      </c>
      <c r="D49" s="591">
        <v>8415128</v>
      </c>
      <c r="E49" s="590">
        <f t="shared" si="4"/>
        <v>641789</v>
      </c>
    </row>
    <row r="50" spans="1:5" s="421" customFormat="1" x14ac:dyDescent="0.2">
      <c r="A50" s="588">
        <v>4</v>
      </c>
      <c r="B50" s="587" t="s">
        <v>115</v>
      </c>
      <c r="C50" s="589">
        <v>7773339</v>
      </c>
      <c r="D50" s="591">
        <v>8415128</v>
      </c>
      <c r="E50" s="590">
        <f t="shared" si="4"/>
        <v>641789</v>
      </c>
    </row>
    <row r="51" spans="1:5" s="421" customFormat="1" x14ac:dyDescent="0.2">
      <c r="A51" s="588">
        <v>5</v>
      </c>
      <c r="B51" s="587" t="s">
        <v>742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0</v>
      </c>
      <c r="D52" s="591">
        <v>166684</v>
      </c>
      <c r="E52" s="590">
        <f t="shared" si="4"/>
        <v>166684</v>
      </c>
    </row>
    <row r="53" spans="1:5" s="421" customFormat="1" x14ac:dyDescent="0.2">
      <c r="A53" s="588">
        <v>7</v>
      </c>
      <c r="B53" s="587" t="s">
        <v>757</v>
      </c>
      <c r="C53" s="589">
        <v>99041</v>
      </c>
      <c r="D53" s="591">
        <v>135790</v>
      </c>
      <c r="E53" s="590">
        <f t="shared" si="4"/>
        <v>36749</v>
      </c>
    </row>
    <row r="54" spans="1:5" s="421" customFormat="1" x14ac:dyDescent="0.2">
      <c r="A54" s="588"/>
      <c r="B54" s="592" t="s">
        <v>789</v>
      </c>
      <c r="C54" s="593">
        <f>SUM(C48+C49+C52)</f>
        <v>42603115</v>
      </c>
      <c r="D54" s="593">
        <f>SUM(D48+D49+D52)</f>
        <v>50062241</v>
      </c>
      <c r="E54" s="593">
        <f t="shared" si="4"/>
        <v>7459126</v>
      </c>
    </row>
    <row r="55" spans="1:5" s="421" customFormat="1" x14ac:dyDescent="0.2">
      <c r="A55" s="588"/>
      <c r="B55" s="592" t="s">
        <v>466</v>
      </c>
      <c r="C55" s="593">
        <f>SUM(C47+C54)</f>
        <v>64748718</v>
      </c>
      <c r="D55" s="593">
        <f>SUM(D47+D54)</f>
        <v>77317471</v>
      </c>
      <c r="E55" s="593">
        <f t="shared" si="4"/>
        <v>12568753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790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655</v>
      </c>
      <c r="C58" s="589">
        <v>46367895</v>
      </c>
      <c r="D58" s="589">
        <v>48900415</v>
      </c>
      <c r="E58" s="590">
        <f t="shared" ref="E58:E66" si="5">D58-C58</f>
        <v>2532520</v>
      </c>
    </row>
    <row r="59" spans="1:5" s="421" customFormat="1" x14ac:dyDescent="0.2">
      <c r="A59" s="588">
        <v>2</v>
      </c>
      <c r="B59" s="587" t="s">
        <v>634</v>
      </c>
      <c r="C59" s="589">
        <v>20243295</v>
      </c>
      <c r="D59" s="591">
        <v>20622307</v>
      </c>
      <c r="E59" s="590">
        <f t="shared" si="5"/>
        <v>379012</v>
      </c>
    </row>
    <row r="60" spans="1:5" s="421" customFormat="1" x14ac:dyDescent="0.2">
      <c r="A60" s="588">
        <v>3</v>
      </c>
      <c r="B60" s="587" t="s">
        <v>776</v>
      </c>
      <c r="C60" s="589">
        <f>C61+C62</f>
        <v>12593462</v>
      </c>
      <c r="D60" s="591">
        <f>D61+D62</f>
        <v>13540753</v>
      </c>
      <c r="E60" s="590">
        <f t="shared" si="5"/>
        <v>947291</v>
      </c>
    </row>
    <row r="61" spans="1:5" s="421" customFormat="1" x14ac:dyDescent="0.2">
      <c r="A61" s="588">
        <v>4</v>
      </c>
      <c r="B61" s="587" t="s">
        <v>115</v>
      </c>
      <c r="C61" s="589">
        <v>12593462</v>
      </c>
      <c r="D61" s="591">
        <v>13540753</v>
      </c>
      <c r="E61" s="590">
        <f t="shared" si="5"/>
        <v>947291</v>
      </c>
    </row>
    <row r="62" spans="1:5" s="421" customFormat="1" x14ac:dyDescent="0.2">
      <c r="A62" s="588">
        <v>5</v>
      </c>
      <c r="B62" s="587" t="s">
        <v>742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76825</v>
      </c>
      <c r="D63" s="591">
        <v>388433</v>
      </c>
      <c r="E63" s="590">
        <f t="shared" si="5"/>
        <v>311608</v>
      </c>
    </row>
    <row r="64" spans="1:5" s="421" customFormat="1" x14ac:dyDescent="0.2">
      <c r="A64" s="588">
        <v>7</v>
      </c>
      <c r="B64" s="587" t="s">
        <v>757</v>
      </c>
      <c r="C64" s="589">
        <v>241000</v>
      </c>
      <c r="D64" s="591">
        <v>171104</v>
      </c>
      <c r="E64" s="590">
        <f t="shared" si="5"/>
        <v>-69896</v>
      </c>
    </row>
    <row r="65" spans="1:5" s="421" customFormat="1" x14ac:dyDescent="0.2">
      <c r="A65" s="588"/>
      <c r="B65" s="592" t="s">
        <v>791</v>
      </c>
      <c r="C65" s="593">
        <f>SUM(C59+C60+C63)</f>
        <v>32913582</v>
      </c>
      <c r="D65" s="593">
        <f>SUM(D59+D60+D63)</f>
        <v>34551493</v>
      </c>
      <c r="E65" s="593">
        <f t="shared" si="5"/>
        <v>1637911</v>
      </c>
    </row>
    <row r="66" spans="1:5" s="421" customFormat="1" x14ac:dyDescent="0.2">
      <c r="A66" s="588"/>
      <c r="B66" s="592" t="s">
        <v>468</v>
      </c>
      <c r="C66" s="593">
        <f>SUM(C58+C65)</f>
        <v>79281477</v>
      </c>
      <c r="D66" s="593">
        <f>SUM(D58+D65)</f>
        <v>83451908</v>
      </c>
      <c r="E66" s="593">
        <f t="shared" si="5"/>
        <v>4170431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653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780</v>
      </c>
      <c r="C69" s="590">
        <f t="shared" ref="C69:D75" si="6">C47+C58</f>
        <v>68513498</v>
      </c>
      <c r="D69" s="590">
        <f t="shared" si="6"/>
        <v>76155645</v>
      </c>
      <c r="E69" s="590">
        <f t="shared" ref="E69:E77" si="7">D69-C69</f>
        <v>7642147</v>
      </c>
    </row>
    <row r="70" spans="1:5" s="421" customFormat="1" x14ac:dyDescent="0.2">
      <c r="A70" s="588">
        <v>2</v>
      </c>
      <c r="B70" s="587" t="s">
        <v>781</v>
      </c>
      <c r="C70" s="590">
        <f t="shared" si="6"/>
        <v>55073071</v>
      </c>
      <c r="D70" s="590">
        <f t="shared" si="6"/>
        <v>62102736</v>
      </c>
      <c r="E70" s="590">
        <f t="shared" si="7"/>
        <v>7029665</v>
      </c>
    </row>
    <row r="71" spans="1:5" s="421" customFormat="1" x14ac:dyDescent="0.2">
      <c r="A71" s="588">
        <v>3</v>
      </c>
      <c r="B71" s="587" t="s">
        <v>782</v>
      </c>
      <c r="C71" s="590">
        <f t="shared" si="6"/>
        <v>20366801</v>
      </c>
      <c r="D71" s="590">
        <f t="shared" si="6"/>
        <v>21955881</v>
      </c>
      <c r="E71" s="590">
        <f t="shared" si="7"/>
        <v>1589080</v>
      </c>
    </row>
    <row r="72" spans="1:5" s="421" customFormat="1" x14ac:dyDescent="0.2">
      <c r="A72" s="588">
        <v>4</v>
      </c>
      <c r="B72" s="587" t="s">
        <v>783</v>
      </c>
      <c r="C72" s="590">
        <f t="shared" si="6"/>
        <v>20366801</v>
      </c>
      <c r="D72" s="590">
        <f t="shared" si="6"/>
        <v>21955881</v>
      </c>
      <c r="E72" s="590">
        <f t="shared" si="7"/>
        <v>1589080</v>
      </c>
    </row>
    <row r="73" spans="1:5" s="421" customFormat="1" x14ac:dyDescent="0.2">
      <c r="A73" s="588">
        <v>5</v>
      </c>
      <c r="B73" s="587" t="s">
        <v>784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785</v>
      </c>
      <c r="C74" s="590">
        <f t="shared" si="6"/>
        <v>76825</v>
      </c>
      <c r="D74" s="590">
        <f t="shared" si="6"/>
        <v>555117</v>
      </c>
      <c r="E74" s="590">
        <f t="shared" si="7"/>
        <v>478292</v>
      </c>
    </row>
    <row r="75" spans="1:5" s="421" customFormat="1" x14ac:dyDescent="0.2">
      <c r="A75" s="588">
        <v>7</v>
      </c>
      <c r="B75" s="587" t="s">
        <v>786</v>
      </c>
      <c r="C75" s="590">
        <f t="shared" si="6"/>
        <v>340041</v>
      </c>
      <c r="D75" s="590">
        <f t="shared" si="6"/>
        <v>306894</v>
      </c>
      <c r="E75" s="590">
        <f t="shared" si="7"/>
        <v>-33147</v>
      </c>
    </row>
    <row r="76" spans="1:5" s="421" customFormat="1" x14ac:dyDescent="0.2">
      <c r="A76" s="588"/>
      <c r="B76" s="592" t="s">
        <v>792</v>
      </c>
      <c r="C76" s="593">
        <f>SUM(C70+C71+C74)</f>
        <v>75516697</v>
      </c>
      <c r="D76" s="593">
        <f>SUM(D70+D71+D74)</f>
        <v>84613734</v>
      </c>
      <c r="E76" s="593">
        <f t="shared" si="7"/>
        <v>9097037</v>
      </c>
    </row>
    <row r="77" spans="1:5" s="421" customFormat="1" x14ac:dyDescent="0.2">
      <c r="A77" s="588"/>
      <c r="B77" s="592" t="s">
        <v>725</v>
      </c>
      <c r="C77" s="593">
        <f>SUM(C69+C76)</f>
        <v>144030195</v>
      </c>
      <c r="D77" s="593">
        <f>SUM(D69+D76)</f>
        <v>160769379</v>
      </c>
      <c r="E77" s="593">
        <f t="shared" si="7"/>
        <v>16739184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793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794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655</v>
      </c>
      <c r="C83" s="599">
        <f t="shared" ref="C83:D89" si="8">IF(C$44=0,0,C14/C$44)</f>
        <v>0.1047190743281692</v>
      </c>
      <c r="D83" s="599">
        <f t="shared" si="8"/>
        <v>0.1181766053131228</v>
      </c>
      <c r="E83" s="599">
        <f t="shared" ref="E83:E91" si="9">D83-C83</f>
        <v>1.34575309849536E-2</v>
      </c>
    </row>
    <row r="84" spans="1:5" s="421" customFormat="1" x14ac:dyDescent="0.2">
      <c r="A84" s="588">
        <v>2</v>
      </c>
      <c r="B84" s="587" t="s">
        <v>634</v>
      </c>
      <c r="C84" s="599">
        <f t="shared" si="8"/>
        <v>0.23871811533488663</v>
      </c>
      <c r="D84" s="599">
        <f t="shared" si="8"/>
        <v>0.24164047030397265</v>
      </c>
      <c r="E84" s="599">
        <f t="shared" si="9"/>
        <v>2.9223549690860218E-3</v>
      </c>
    </row>
    <row r="85" spans="1:5" s="421" customFormat="1" x14ac:dyDescent="0.2">
      <c r="A85" s="588">
        <v>3</v>
      </c>
      <c r="B85" s="587" t="s">
        <v>776</v>
      </c>
      <c r="C85" s="599">
        <f t="shared" si="8"/>
        <v>7.1300861974983573E-2</v>
      </c>
      <c r="D85" s="599">
        <f t="shared" si="8"/>
        <v>7.0625979681334786E-2</v>
      </c>
      <c r="E85" s="599">
        <f t="shared" si="9"/>
        <v>-6.7488229364878749E-4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7.1300861974983573E-2</v>
      </c>
      <c r="D86" s="599">
        <f t="shared" si="8"/>
        <v>7.0625979681334786E-2</v>
      </c>
      <c r="E86" s="599">
        <f t="shared" si="9"/>
        <v>-6.7488229364878749E-4</v>
      </c>
    </row>
    <row r="87" spans="1:5" s="421" customFormat="1" x14ac:dyDescent="0.2">
      <c r="A87" s="588">
        <v>5</v>
      </c>
      <c r="B87" s="587" t="s">
        <v>742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2.8853501473662184E-4</v>
      </c>
      <c r="D88" s="599">
        <f t="shared" si="8"/>
        <v>3.018334963414812E-4</v>
      </c>
      <c r="E88" s="599">
        <f t="shared" si="9"/>
        <v>1.3298481604859366E-5</v>
      </c>
    </row>
    <row r="89" spans="1:5" s="421" customFormat="1" x14ac:dyDescent="0.2">
      <c r="A89" s="588">
        <v>7</v>
      </c>
      <c r="B89" s="587" t="s">
        <v>757</v>
      </c>
      <c r="C89" s="599">
        <f t="shared" si="8"/>
        <v>5.770739371761688E-4</v>
      </c>
      <c r="D89" s="599">
        <f t="shared" si="8"/>
        <v>7.081019908501665E-4</v>
      </c>
      <c r="E89" s="599">
        <f t="shared" si="9"/>
        <v>1.3102805367399769E-4</v>
      </c>
    </row>
    <row r="90" spans="1:5" s="421" customFormat="1" x14ac:dyDescent="0.2">
      <c r="A90" s="588"/>
      <c r="B90" s="592" t="s">
        <v>795</v>
      </c>
      <c r="C90" s="600">
        <f>SUM(C84+C85+C88)</f>
        <v>0.31030751232460685</v>
      </c>
      <c r="D90" s="600">
        <f>SUM(D84+D85+D88)</f>
        <v>0.31256828348164895</v>
      </c>
      <c r="E90" s="601">
        <f t="shared" si="9"/>
        <v>2.2607711570420963E-3</v>
      </c>
    </row>
    <row r="91" spans="1:5" s="421" customFormat="1" x14ac:dyDescent="0.2">
      <c r="A91" s="588"/>
      <c r="B91" s="592" t="s">
        <v>796</v>
      </c>
      <c r="C91" s="600">
        <f>SUM(C83+C90)</f>
        <v>0.41502658665277603</v>
      </c>
      <c r="D91" s="600">
        <f>SUM(D83+D90)</f>
        <v>0.43074488879477174</v>
      </c>
      <c r="E91" s="601">
        <f t="shared" si="9"/>
        <v>1.571830214199571E-2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797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655</v>
      </c>
      <c r="C95" s="599">
        <f t="shared" ref="C95:D101" si="10">IF(C$44=0,0,C25/C$44)</f>
        <v>0.24229550794719021</v>
      </c>
      <c r="D95" s="599">
        <f t="shared" si="10"/>
        <v>0.23588163698419989</v>
      </c>
      <c r="E95" s="599">
        <f t="shared" ref="E95:E103" si="11">D95-C95</f>
        <v>-6.4138709629903146E-3</v>
      </c>
    </row>
    <row r="96" spans="1:5" s="421" customFormat="1" x14ac:dyDescent="0.2">
      <c r="A96" s="588">
        <v>2</v>
      </c>
      <c r="B96" s="587" t="s">
        <v>634</v>
      </c>
      <c r="C96" s="599">
        <f t="shared" si="10"/>
        <v>0.20490902327350294</v>
      </c>
      <c r="D96" s="599">
        <f t="shared" si="10"/>
        <v>0.19396245943444657</v>
      </c>
      <c r="E96" s="599">
        <f t="shared" si="11"/>
        <v>-1.0946563839056372E-2</v>
      </c>
    </row>
    <row r="97" spans="1:5" s="421" customFormat="1" x14ac:dyDescent="0.2">
      <c r="A97" s="588">
        <v>3</v>
      </c>
      <c r="B97" s="587" t="s">
        <v>776</v>
      </c>
      <c r="C97" s="599">
        <f t="shared" si="10"/>
        <v>0.13695768989170237</v>
      </c>
      <c r="D97" s="599">
        <f t="shared" si="10"/>
        <v>0.13870763539513212</v>
      </c>
      <c r="E97" s="599">
        <f t="shared" si="11"/>
        <v>1.7499455034297451E-3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0.13695768989170237</v>
      </c>
      <c r="D98" s="599">
        <f t="shared" si="10"/>
        <v>0.13870763539513212</v>
      </c>
      <c r="E98" s="599">
        <f t="shared" si="11"/>
        <v>1.7499455034297451E-3</v>
      </c>
    </row>
    <row r="99" spans="1:5" s="421" customFormat="1" x14ac:dyDescent="0.2">
      <c r="A99" s="588">
        <v>5</v>
      </c>
      <c r="B99" s="587" t="s">
        <v>742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8.1119223482845233E-4</v>
      </c>
      <c r="D100" s="599">
        <f t="shared" si="10"/>
        <v>7.0337939144975257E-4</v>
      </c>
      <c r="E100" s="599">
        <f t="shared" si="11"/>
        <v>-1.0781284337869977E-4</v>
      </c>
    </row>
    <row r="101" spans="1:5" s="421" customFormat="1" x14ac:dyDescent="0.2">
      <c r="A101" s="588">
        <v>7</v>
      </c>
      <c r="B101" s="587" t="s">
        <v>757</v>
      </c>
      <c r="C101" s="599">
        <f t="shared" si="10"/>
        <v>5.0071214661956158E-3</v>
      </c>
      <c r="D101" s="599">
        <f t="shared" si="10"/>
        <v>4.8828508878135573E-3</v>
      </c>
      <c r="E101" s="599">
        <f t="shared" si="11"/>
        <v>-1.242705783820585E-4</v>
      </c>
    </row>
    <row r="102" spans="1:5" s="421" customFormat="1" x14ac:dyDescent="0.2">
      <c r="A102" s="588"/>
      <c r="B102" s="592" t="s">
        <v>798</v>
      </c>
      <c r="C102" s="600">
        <f>SUM(C96+C97+C100)</f>
        <v>0.34267790540003379</v>
      </c>
      <c r="D102" s="600">
        <f>SUM(D96+D97+D100)</f>
        <v>0.33337347422102842</v>
      </c>
      <c r="E102" s="601">
        <f t="shared" si="11"/>
        <v>-9.304431179005368E-3</v>
      </c>
    </row>
    <row r="103" spans="1:5" s="421" customFormat="1" x14ac:dyDescent="0.2">
      <c r="A103" s="588"/>
      <c r="B103" s="592" t="s">
        <v>799</v>
      </c>
      <c r="C103" s="600">
        <f>SUM(C95+C102)</f>
        <v>0.58497341334722397</v>
      </c>
      <c r="D103" s="600">
        <f>SUM(D95+D102)</f>
        <v>0.56925511120522831</v>
      </c>
      <c r="E103" s="601">
        <f t="shared" si="11"/>
        <v>-1.5718302141995655E-2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800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801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655</v>
      </c>
      <c r="C109" s="599">
        <f t="shared" ref="C109:D115" si="12">IF(C$77=0,0,C47/C$77)</f>
        <v>0.1537566688707184</v>
      </c>
      <c r="D109" s="599">
        <f t="shared" si="12"/>
        <v>0.16952998244771475</v>
      </c>
      <c r="E109" s="599">
        <f t="shared" ref="E109:E117" si="13">D109-C109</f>
        <v>1.5773313576996351E-2</v>
      </c>
    </row>
    <row r="110" spans="1:5" s="421" customFormat="1" x14ac:dyDescent="0.2">
      <c r="A110" s="588">
        <v>2</v>
      </c>
      <c r="B110" s="587" t="s">
        <v>634</v>
      </c>
      <c r="C110" s="599">
        <f t="shared" si="12"/>
        <v>0.24182273723922959</v>
      </c>
      <c r="D110" s="599">
        <f t="shared" si="12"/>
        <v>0.25801199990951013</v>
      </c>
      <c r="E110" s="599">
        <f t="shared" si="13"/>
        <v>1.6189262670280535E-2</v>
      </c>
    </row>
    <row r="111" spans="1:5" s="421" customFormat="1" x14ac:dyDescent="0.2">
      <c r="A111" s="588">
        <v>3</v>
      </c>
      <c r="B111" s="587" t="s">
        <v>776</v>
      </c>
      <c r="C111" s="599">
        <f t="shared" si="12"/>
        <v>5.3970203956191266E-2</v>
      </c>
      <c r="D111" s="599">
        <f t="shared" si="12"/>
        <v>5.234285317479518E-2</v>
      </c>
      <c r="E111" s="599">
        <f t="shared" si="13"/>
        <v>-1.6273507813960864E-3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5.3970203956191266E-2</v>
      </c>
      <c r="D112" s="599">
        <f t="shared" si="12"/>
        <v>5.234285317479518E-2</v>
      </c>
      <c r="E112" s="599">
        <f t="shared" si="13"/>
        <v>-1.6273507813960864E-3</v>
      </c>
    </row>
    <row r="113" spans="1:5" s="421" customFormat="1" x14ac:dyDescent="0.2">
      <c r="A113" s="588">
        <v>5</v>
      </c>
      <c r="B113" s="587" t="s">
        <v>742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0</v>
      </c>
      <c r="D114" s="599">
        <f t="shared" si="12"/>
        <v>1.0367894746921924E-3</v>
      </c>
      <c r="E114" s="599">
        <f t="shared" si="13"/>
        <v>1.0367894746921924E-3</v>
      </c>
    </row>
    <row r="115" spans="1:5" s="421" customFormat="1" x14ac:dyDescent="0.2">
      <c r="A115" s="588">
        <v>7</v>
      </c>
      <c r="B115" s="587" t="s">
        <v>757</v>
      </c>
      <c r="C115" s="599">
        <f t="shared" si="12"/>
        <v>6.8764053259804303E-4</v>
      </c>
      <c r="D115" s="599">
        <f t="shared" si="12"/>
        <v>8.4462601550510438E-4</v>
      </c>
      <c r="E115" s="599">
        <f t="shared" si="13"/>
        <v>1.5698548290706135E-4</v>
      </c>
    </row>
    <row r="116" spans="1:5" s="421" customFormat="1" x14ac:dyDescent="0.2">
      <c r="A116" s="588"/>
      <c r="B116" s="592" t="s">
        <v>795</v>
      </c>
      <c r="C116" s="600">
        <f>SUM(C110+C111+C114)</f>
        <v>0.29579294119542088</v>
      </c>
      <c r="D116" s="600">
        <f>SUM(D110+D111+D114)</f>
        <v>0.31139164255899754</v>
      </c>
      <c r="E116" s="601">
        <f t="shared" si="13"/>
        <v>1.5598701363576661E-2</v>
      </c>
    </row>
    <row r="117" spans="1:5" s="421" customFormat="1" x14ac:dyDescent="0.2">
      <c r="A117" s="588"/>
      <c r="B117" s="592" t="s">
        <v>796</v>
      </c>
      <c r="C117" s="600">
        <f>SUM(C109+C116)</f>
        <v>0.44954961006613925</v>
      </c>
      <c r="D117" s="600">
        <f>SUM(D109+D116)</f>
        <v>0.48092162500671232</v>
      </c>
      <c r="E117" s="601">
        <f t="shared" si="13"/>
        <v>3.1372014940573067E-2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802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655</v>
      </c>
      <c r="C121" s="599">
        <f t="shared" ref="C121:D127" si="14">IF(C$77=0,0,C58/C$77)</f>
        <v>0.32193176576619925</v>
      </c>
      <c r="D121" s="599">
        <f t="shared" si="14"/>
        <v>0.3041649803225277</v>
      </c>
      <c r="E121" s="599">
        <f t="shared" ref="E121:E129" si="15">D121-C121</f>
        <v>-1.7766785443671551E-2</v>
      </c>
    </row>
    <row r="122" spans="1:5" s="421" customFormat="1" x14ac:dyDescent="0.2">
      <c r="A122" s="588">
        <v>2</v>
      </c>
      <c r="B122" s="587" t="s">
        <v>634</v>
      </c>
      <c r="C122" s="599">
        <f t="shared" si="14"/>
        <v>0.1405489661386628</v>
      </c>
      <c r="D122" s="599">
        <f t="shared" si="14"/>
        <v>0.12827260469793816</v>
      </c>
      <c r="E122" s="599">
        <f t="shared" si="15"/>
        <v>-1.2276361440724637E-2</v>
      </c>
    </row>
    <row r="123" spans="1:5" s="421" customFormat="1" x14ac:dyDescent="0.2">
      <c r="A123" s="588">
        <v>3</v>
      </c>
      <c r="B123" s="587" t="s">
        <v>776</v>
      </c>
      <c r="C123" s="599">
        <f t="shared" si="14"/>
        <v>8.7436262930838907E-2</v>
      </c>
      <c r="D123" s="599">
        <f t="shared" si="14"/>
        <v>8.4224701769856317E-2</v>
      </c>
      <c r="E123" s="599">
        <f t="shared" si="15"/>
        <v>-3.21156116098259E-3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8.7436262930838907E-2</v>
      </c>
      <c r="D124" s="599">
        <f t="shared" si="14"/>
        <v>8.4224701769856317E-2</v>
      </c>
      <c r="E124" s="599">
        <f t="shared" si="15"/>
        <v>-3.21156116098259E-3</v>
      </c>
    </row>
    <row r="125" spans="1:5" s="421" customFormat="1" x14ac:dyDescent="0.2">
      <c r="A125" s="588">
        <v>5</v>
      </c>
      <c r="B125" s="587" t="s">
        <v>742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5.3339509815979907E-4</v>
      </c>
      <c r="D126" s="599">
        <f t="shared" si="14"/>
        <v>2.4160882029655661E-3</v>
      </c>
      <c r="E126" s="599">
        <f t="shared" si="15"/>
        <v>1.8826931048057669E-3</v>
      </c>
    </row>
    <row r="127" spans="1:5" s="421" customFormat="1" x14ac:dyDescent="0.2">
      <c r="A127" s="588">
        <v>7</v>
      </c>
      <c r="B127" s="587" t="s">
        <v>757</v>
      </c>
      <c r="C127" s="599">
        <f t="shared" si="14"/>
        <v>1.673260249352575E-3</v>
      </c>
      <c r="D127" s="599">
        <f t="shared" si="14"/>
        <v>1.0642822723100772E-3</v>
      </c>
      <c r="E127" s="599">
        <f t="shared" si="15"/>
        <v>-6.0897797704249782E-4</v>
      </c>
    </row>
    <row r="128" spans="1:5" s="421" customFormat="1" x14ac:dyDescent="0.2">
      <c r="A128" s="588"/>
      <c r="B128" s="592" t="s">
        <v>798</v>
      </c>
      <c r="C128" s="600">
        <f>SUM(C122+C123+C126)</f>
        <v>0.2285186241676615</v>
      </c>
      <c r="D128" s="600">
        <f>SUM(D122+D123+D126)</f>
        <v>0.21491339467076004</v>
      </c>
      <c r="E128" s="601">
        <f t="shared" si="15"/>
        <v>-1.3605229496901461E-2</v>
      </c>
    </row>
    <row r="129" spans="1:5" s="421" customFormat="1" x14ac:dyDescent="0.2">
      <c r="A129" s="588"/>
      <c r="B129" s="592" t="s">
        <v>799</v>
      </c>
      <c r="C129" s="600">
        <f>SUM(C121+C128)</f>
        <v>0.55045038993386075</v>
      </c>
      <c r="D129" s="600">
        <f>SUM(D121+D128)</f>
        <v>0.51907837499328768</v>
      </c>
      <c r="E129" s="601">
        <f t="shared" si="15"/>
        <v>-3.1372014940573067E-2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803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804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805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655</v>
      </c>
      <c r="C137" s="606">
        <v>2030</v>
      </c>
      <c r="D137" s="606">
        <v>2367</v>
      </c>
      <c r="E137" s="607">
        <f t="shared" ref="E137:E145" si="16">D137-C137</f>
        <v>337</v>
      </c>
    </row>
    <row r="138" spans="1:5" s="421" customFormat="1" x14ac:dyDescent="0.2">
      <c r="A138" s="588">
        <v>2</v>
      </c>
      <c r="B138" s="587" t="s">
        <v>634</v>
      </c>
      <c r="C138" s="606">
        <v>3387</v>
      </c>
      <c r="D138" s="606">
        <v>3582</v>
      </c>
      <c r="E138" s="607">
        <f t="shared" si="16"/>
        <v>195</v>
      </c>
    </row>
    <row r="139" spans="1:5" s="421" customFormat="1" x14ac:dyDescent="0.2">
      <c r="A139" s="588">
        <v>3</v>
      </c>
      <c r="B139" s="587" t="s">
        <v>776</v>
      </c>
      <c r="C139" s="606">
        <f>C140+C141</f>
        <v>1523</v>
      </c>
      <c r="D139" s="606">
        <f>D140+D141</f>
        <v>1638</v>
      </c>
      <c r="E139" s="607">
        <f t="shared" si="16"/>
        <v>115</v>
      </c>
    </row>
    <row r="140" spans="1:5" s="421" customFormat="1" x14ac:dyDescent="0.2">
      <c r="A140" s="588">
        <v>4</v>
      </c>
      <c r="B140" s="587" t="s">
        <v>115</v>
      </c>
      <c r="C140" s="606">
        <v>1523</v>
      </c>
      <c r="D140" s="606">
        <v>1638</v>
      </c>
      <c r="E140" s="607">
        <f t="shared" si="16"/>
        <v>115</v>
      </c>
    </row>
    <row r="141" spans="1:5" s="421" customFormat="1" x14ac:dyDescent="0.2">
      <c r="A141" s="588">
        <v>5</v>
      </c>
      <c r="B141" s="587" t="s">
        <v>742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10</v>
      </c>
      <c r="D142" s="606">
        <v>10</v>
      </c>
      <c r="E142" s="607">
        <f t="shared" si="16"/>
        <v>0</v>
      </c>
    </row>
    <row r="143" spans="1:5" s="421" customFormat="1" x14ac:dyDescent="0.2">
      <c r="A143" s="588">
        <v>7</v>
      </c>
      <c r="B143" s="587" t="s">
        <v>757</v>
      </c>
      <c r="C143" s="606">
        <v>11</v>
      </c>
      <c r="D143" s="606">
        <v>19</v>
      </c>
      <c r="E143" s="607">
        <f t="shared" si="16"/>
        <v>8</v>
      </c>
    </row>
    <row r="144" spans="1:5" s="421" customFormat="1" x14ac:dyDescent="0.2">
      <c r="A144" s="588"/>
      <c r="B144" s="592" t="s">
        <v>806</v>
      </c>
      <c r="C144" s="608">
        <f>SUM(C138+C139+C142)</f>
        <v>4920</v>
      </c>
      <c r="D144" s="608">
        <f>SUM(D138+D139+D142)</f>
        <v>5230</v>
      </c>
      <c r="E144" s="609">
        <f t="shared" si="16"/>
        <v>310</v>
      </c>
    </row>
    <row r="145" spans="1:5" s="421" customFormat="1" x14ac:dyDescent="0.2">
      <c r="A145" s="588"/>
      <c r="B145" s="592" t="s">
        <v>138</v>
      </c>
      <c r="C145" s="608">
        <f>SUM(C137+C144)</f>
        <v>6950</v>
      </c>
      <c r="D145" s="608">
        <f>SUM(D137+D144)</f>
        <v>7597</v>
      </c>
      <c r="E145" s="609">
        <f t="shared" si="16"/>
        <v>647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655</v>
      </c>
      <c r="C149" s="610">
        <v>7332</v>
      </c>
      <c r="D149" s="610">
        <v>7953</v>
      </c>
      <c r="E149" s="607">
        <f t="shared" ref="E149:E157" si="17">D149-C149</f>
        <v>621</v>
      </c>
    </row>
    <row r="150" spans="1:5" s="421" customFormat="1" x14ac:dyDescent="0.2">
      <c r="A150" s="588">
        <v>2</v>
      </c>
      <c r="B150" s="587" t="s">
        <v>634</v>
      </c>
      <c r="C150" s="610">
        <v>16588</v>
      </c>
      <c r="D150" s="610">
        <v>17056</v>
      </c>
      <c r="E150" s="607">
        <f t="shared" si="17"/>
        <v>468</v>
      </c>
    </row>
    <row r="151" spans="1:5" s="421" customFormat="1" x14ac:dyDescent="0.2">
      <c r="A151" s="588">
        <v>3</v>
      </c>
      <c r="B151" s="587" t="s">
        <v>776</v>
      </c>
      <c r="C151" s="610">
        <f>C152+C153</f>
        <v>6648</v>
      </c>
      <c r="D151" s="610">
        <f>D152+D153</f>
        <v>6699</v>
      </c>
      <c r="E151" s="607">
        <f t="shared" si="17"/>
        <v>51</v>
      </c>
    </row>
    <row r="152" spans="1:5" s="421" customFormat="1" x14ac:dyDescent="0.2">
      <c r="A152" s="588">
        <v>4</v>
      </c>
      <c r="B152" s="587" t="s">
        <v>115</v>
      </c>
      <c r="C152" s="610">
        <v>6648</v>
      </c>
      <c r="D152" s="610">
        <v>6699</v>
      </c>
      <c r="E152" s="607">
        <f t="shared" si="17"/>
        <v>51</v>
      </c>
    </row>
    <row r="153" spans="1:5" s="421" customFormat="1" x14ac:dyDescent="0.2">
      <c r="A153" s="588">
        <v>5</v>
      </c>
      <c r="B153" s="587" t="s">
        <v>742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26</v>
      </c>
      <c r="D154" s="610">
        <v>24</v>
      </c>
      <c r="E154" s="607">
        <f t="shared" si="17"/>
        <v>-2</v>
      </c>
    </row>
    <row r="155" spans="1:5" s="421" customFormat="1" x14ac:dyDescent="0.2">
      <c r="A155" s="588">
        <v>7</v>
      </c>
      <c r="B155" s="587" t="s">
        <v>757</v>
      </c>
      <c r="C155" s="610">
        <v>25</v>
      </c>
      <c r="D155" s="610">
        <v>43</v>
      </c>
      <c r="E155" s="607">
        <f t="shared" si="17"/>
        <v>18</v>
      </c>
    </row>
    <row r="156" spans="1:5" s="421" customFormat="1" x14ac:dyDescent="0.2">
      <c r="A156" s="588"/>
      <c r="B156" s="592" t="s">
        <v>807</v>
      </c>
      <c r="C156" s="608">
        <f>SUM(C150+C151+C154)</f>
        <v>23262</v>
      </c>
      <c r="D156" s="608">
        <f>SUM(D150+D151+D154)</f>
        <v>23779</v>
      </c>
      <c r="E156" s="609">
        <f t="shared" si="17"/>
        <v>517</v>
      </c>
    </row>
    <row r="157" spans="1:5" s="421" customFormat="1" x14ac:dyDescent="0.2">
      <c r="A157" s="588"/>
      <c r="B157" s="592" t="s">
        <v>140</v>
      </c>
      <c r="C157" s="608">
        <f>SUM(C149+C156)</f>
        <v>30594</v>
      </c>
      <c r="D157" s="608">
        <f>SUM(D149+D156)</f>
        <v>31732</v>
      </c>
      <c r="E157" s="609">
        <f t="shared" si="17"/>
        <v>1138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808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655</v>
      </c>
      <c r="C161" s="612">
        <f t="shared" ref="C161:D169" si="18">IF(C137=0,0,C149/C137)</f>
        <v>3.6118226600985222</v>
      </c>
      <c r="D161" s="612">
        <f t="shared" si="18"/>
        <v>3.3599493029150822</v>
      </c>
      <c r="E161" s="613">
        <f t="shared" ref="E161:E169" si="19">D161-C161</f>
        <v>-0.25187335718343995</v>
      </c>
    </row>
    <row r="162" spans="1:5" s="421" customFormat="1" x14ac:dyDescent="0.2">
      <c r="A162" s="588">
        <v>2</v>
      </c>
      <c r="B162" s="587" t="s">
        <v>634</v>
      </c>
      <c r="C162" s="612">
        <f t="shared" si="18"/>
        <v>4.8975494537939177</v>
      </c>
      <c r="D162" s="612">
        <f t="shared" si="18"/>
        <v>4.7615857063093241</v>
      </c>
      <c r="E162" s="613">
        <f t="shared" si="19"/>
        <v>-0.13596374748459361</v>
      </c>
    </row>
    <row r="163" spans="1:5" s="421" customFormat="1" x14ac:dyDescent="0.2">
      <c r="A163" s="588">
        <v>3</v>
      </c>
      <c r="B163" s="587" t="s">
        <v>776</v>
      </c>
      <c r="C163" s="612">
        <f t="shared" si="18"/>
        <v>4.3650689428759026</v>
      </c>
      <c r="D163" s="612">
        <f t="shared" si="18"/>
        <v>4.0897435897435894</v>
      </c>
      <c r="E163" s="613">
        <f t="shared" si="19"/>
        <v>-0.27532535313231321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4.3650689428759026</v>
      </c>
      <c r="D164" s="612">
        <f t="shared" si="18"/>
        <v>4.0897435897435894</v>
      </c>
      <c r="E164" s="613">
        <f t="shared" si="19"/>
        <v>-0.27532535313231321</v>
      </c>
    </row>
    <row r="165" spans="1:5" s="421" customFormat="1" x14ac:dyDescent="0.2">
      <c r="A165" s="588">
        <v>5</v>
      </c>
      <c r="B165" s="587" t="s">
        <v>742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2.6</v>
      </c>
      <c r="D166" s="612">
        <f t="shared" si="18"/>
        <v>2.4</v>
      </c>
      <c r="E166" s="613">
        <f t="shared" si="19"/>
        <v>-0.20000000000000018</v>
      </c>
    </row>
    <row r="167" spans="1:5" s="421" customFormat="1" x14ac:dyDescent="0.2">
      <c r="A167" s="588">
        <v>7</v>
      </c>
      <c r="B167" s="587" t="s">
        <v>757</v>
      </c>
      <c r="C167" s="612">
        <f t="shared" si="18"/>
        <v>2.2727272727272729</v>
      </c>
      <c r="D167" s="612">
        <f t="shared" si="18"/>
        <v>2.263157894736842</v>
      </c>
      <c r="E167" s="613">
        <f t="shared" si="19"/>
        <v>-9.569377990430894E-3</v>
      </c>
    </row>
    <row r="168" spans="1:5" s="421" customFormat="1" x14ac:dyDescent="0.2">
      <c r="A168" s="588"/>
      <c r="B168" s="592" t="s">
        <v>809</v>
      </c>
      <c r="C168" s="614">
        <f t="shared" si="18"/>
        <v>4.7280487804878053</v>
      </c>
      <c r="D168" s="614">
        <f t="shared" si="18"/>
        <v>4.546653919694073</v>
      </c>
      <c r="E168" s="615">
        <f t="shared" si="19"/>
        <v>-0.18139486079373235</v>
      </c>
    </row>
    <row r="169" spans="1:5" s="421" customFormat="1" x14ac:dyDescent="0.2">
      <c r="A169" s="588"/>
      <c r="B169" s="592" t="s">
        <v>743</v>
      </c>
      <c r="C169" s="614">
        <f t="shared" si="18"/>
        <v>4.4020143884892082</v>
      </c>
      <c r="D169" s="614">
        <f t="shared" si="18"/>
        <v>4.1769119389232587</v>
      </c>
      <c r="E169" s="615">
        <f t="shared" si="19"/>
        <v>-0.22510244956594949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810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655</v>
      </c>
      <c r="C173" s="617">
        <f t="shared" ref="C173:D181" si="20">IF(C137=0,0,C203/C137)</f>
        <v>1.0487</v>
      </c>
      <c r="D173" s="617">
        <f t="shared" si="20"/>
        <v>1.1299999999999999</v>
      </c>
      <c r="E173" s="618">
        <f t="shared" ref="E173:E181" si="21">D173-C173</f>
        <v>8.1299999999999928E-2</v>
      </c>
    </row>
    <row r="174" spans="1:5" s="421" customFormat="1" x14ac:dyDescent="0.2">
      <c r="A174" s="588">
        <v>2</v>
      </c>
      <c r="B174" s="587" t="s">
        <v>634</v>
      </c>
      <c r="C174" s="617">
        <f t="shared" si="20"/>
        <v>1.3074500000000002</v>
      </c>
      <c r="D174" s="617">
        <f t="shared" si="20"/>
        <v>1.38</v>
      </c>
      <c r="E174" s="618">
        <f t="shared" si="21"/>
        <v>7.254999999999967E-2</v>
      </c>
    </row>
    <row r="175" spans="1:5" s="421" customFormat="1" x14ac:dyDescent="0.2">
      <c r="A175" s="588">
        <v>3</v>
      </c>
      <c r="B175" s="587" t="s">
        <v>776</v>
      </c>
      <c r="C175" s="617">
        <f t="shared" si="20"/>
        <v>0.87407999999999997</v>
      </c>
      <c r="D175" s="617">
        <f t="shared" si="20"/>
        <v>0.92</v>
      </c>
      <c r="E175" s="618">
        <f t="shared" si="21"/>
        <v>4.5920000000000072E-2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0.87407999999999997</v>
      </c>
      <c r="D176" s="617">
        <f t="shared" si="20"/>
        <v>0.92</v>
      </c>
      <c r="E176" s="618">
        <f t="shared" si="21"/>
        <v>4.5920000000000072E-2</v>
      </c>
    </row>
    <row r="177" spans="1:5" s="421" customFormat="1" x14ac:dyDescent="0.2">
      <c r="A177" s="588">
        <v>5</v>
      </c>
      <c r="B177" s="587" t="s">
        <v>742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0.65644999999999998</v>
      </c>
      <c r="D178" s="617">
        <f t="shared" si="20"/>
        <v>0.77</v>
      </c>
      <c r="E178" s="618">
        <f t="shared" si="21"/>
        <v>0.11355000000000004</v>
      </c>
    </row>
    <row r="179" spans="1:5" s="421" customFormat="1" x14ac:dyDescent="0.2">
      <c r="A179" s="588">
        <v>7</v>
      </c>
      <c r="B179" s="587" t="s">
        <v>757</v>
      </c>
      <c r="C179" s="617">
        <f t="shared" si="20"/>
        <v>0.92817000000000005</v>
      </c>
      <c r="D179" s="617">
        <f t="shared" si="20"/>
        <v>1.02</v>
      </c>
      <c r="E179" s="618">
        <f t="shared" si="21"/>
        <v>9.1829999999999967E-2</v>
      </c>
    </row>
    <row r="180" spans="1:5" s="421" customFormat="1" x14ac:dyDescent="0.2">
      <c r="A180" s="588"/>
      <c r="B180" s="592" t="s">
        <v>811</v>
      </c>
      <c r="C180" s="619">
        <f t="shared" si="20"/>
        <v>1.171975912601626</v>
      </c>
      <c r="D180" s="619">
        <f t="shared" si="20"/>
        <v>1.2347648183556406</v>
      </c>
      <c r="E180" s="620">
        <f t="shared" si="21"/>
        <v>6.2788905754014523E-2</v>
      </c>
    </row>
    <row r="181" spans="1:5" s="421" customFormat="1" x14ac:dyDescent="0.2">
      <c r="A181" s="588"/>
      <c r="B181" s="592" t="s">
        <v>722</v>
      </c>
      <c r="C181" s="619">
        <f t="shared" si="20"/>
        <v>1.1359687035971224</v>
      </c>
      <c r="D181" s="619">
        <f t="shared" si="20"/>
        <v>1.2021232065288929</v>
      </c>
      <c r="E181" s="620">
        <f t="shared" si="21"/>
        <v>6.6154502931770498E-2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812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813</v>
      </c>
      <c r="C185" s="589">
        <v>174747361</v>
      </c>
      <c r="D185" s="589">
        <v>192436964</v>
      </c>
      <c r="E185" s="590">
        <f>D185-C185</f>
        <v>17689603</v>
      </c>
    </row>
    <row r="186" spans="1:5" s="421" customFormat="1" ht="25.5" x14ac:dyDescent="0.2">
      <c r="A186" s="588">
        <v>2</v>
      </c>
      <c r="B186" s="587" t="s">
        <v>814</v>
      </c>
      <c r="C186" s="589">
        <v>70562058</v>
      </c>
      <c r="D186" s="589">
        <v>78725792</v>
      </c>
      <c r="E186" s="590">
        <f>D186-C186</f>
        <v>8163734</v>
      </c>
    </row>
    <row r="187" spans="1:5" s="421" customFormat="1" x14ac:dyDescent="0.2">
      <c r="A187" s="588"/>
      <c r="B187" s="587" t="s">
        <v>667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746</v>
      </c>
      <c r="C188" s="622">
        <f>+C185-C186</f>
        <v>104185303</v>
      </c>
      <c r="D188" s="622">
        <f>+D185-D186</f>
        <v>113711172</v>
      </c>
      <c r="E188" s="590">
        <f t="shared" ref="E188:E197" si="22">D188-C188</f>
        <v>9525869</v>
      </c>
    </row>
    <row r="189" spans="1:5" s="421" customFormat="1" x14ac:dyDescent="0.2">
      <c r="A189" s="588">
        <v>4</v>
      </c>
      <c r="B189" s="587" t="s">
        <v>669</v>
      </c>
      <c r="C189" s="623">
        <f>IF(C185=0,0,+C188/C185)</f>
        <v>0.59620530120623683</v>
      </c>
      <c r="D189" s="623">
        <f>IF(D185=0,0,+D188/D185)</f>
        <v>0.59090088326273948</v>
      </c>
      <c r="E189" s="599">
        <f t="shared" si="22"/>
        <v>-5.3044179434973415E-3</v>
      </c>
    </row>
    <row r="190" spans="1:5" s="421" customFormat="1" x14ac:dyDescent="0.2">
      <c r="A190" s="588">
        <v>5</v>
      </c>
      <c r="B190" s="587" t="s">
        <v>761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747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815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816</v>
      </c>
      <c r="C193" s="589">
        <v>3122499</v>
      </c>
      <c r="D193" s="589">
        <v>3734054</v>
      </c>
      <c r="E193" s="622">
        <f t="shared" si="22"/>
        <v>611555</v>
      </c>
    </row>
    <row r="194" spans="1:5" s="421" customFormat="1" x14ac:dyDescent="0.2">
      <c r="A194" s="588">
        <v>9</v>
      </c>
      <c r="B194" s="587" t="s">
        <v>817</v>
      </c>
      <c r="C194" s="589">
        <v>1784106</v>
      </c>
      <c r="D194" s="589">
        <v>1923631</v>
      </c>
      <c r="E194" s="622">
        <f t="shared" si="22"/>
        <v>139525</v>
      </c>
    </row>
    <row r="195" spans="1:5" s="421" customFormat="1" x14ac:dyDescent="0.2">
      <c r="A195" s="588">
        <v>10</v>
      </c>
      <c r="B195" s="587" t="s">
        <v>818</v>
      </c>
      <c r="C195" s="589">
        <f>+C193+C194</f>
        <v>4906605</v>
      </c>
      <c r="D195" s="589">
        <f>+D193+D194</f>
        <v>5657685</v>
      </c>
      <c r="E195" s="625">
        <f t="shared" si="22"/>
        <v>751080</v>
      </c>
    </row>
    <row r="196" spans="1:5" s="421" customFormat="1" x14ac:dyDescent="0.2">
      <c r="A196" s="588">
        <v>11</v>
      </c>
      <c r="B196" s="587" t="s">
        <v>819</v>
      </c>
      <c r="C196" s="589">
        <v>5691910</v>
      </c>
      <c r="D196" s="589">
        <v>8671262</v>
      </c>
      <c r="E196" s="622">
        <f t="shared" si="22"/>
        <v>2979352</v>
      </c>
    </row>
    <row r="197" spans="1:5" s="421" customFormat="1" x14ac:dyDescent="0.2">
      <c r="A197" s="588">
        <v>12</v>
      </c>
      <c r="B197" s="587" t="s">
        <v>709</v>
      </c>
      <c r="C197" s="589">
        <v>141153441</v>
      </c>
      <c r="D197" s="589">
        <v>150278225</v>
      </c>
      <c r="E197" s="622">
        <f t="shared" si="22"/>
        <v>9124784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820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821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655</v>
      </c>
      <c r="C203" s="629">
        <v>2128.8609999999999</v>
      </c>
      <c r="D203" s="629">
        <v>2674.7099999999996</v>
      </c>
      <c r="E203" s="630">
        <f t="shared" ref="E203:E211" si="23">D203-C203</f>
        <v>545.84899999999971</v>
      </c>
    </row>
    <row r="204" spans="1:5" s="421" customFormat="1" x14ac:dyDescent="0.2">
      <c r="A204" s="588">
        <v>2</v>
      </c>
      <c r="B204" s="587" t="s">
        <v>634</v>
      </c>
      <c r="C204" s="629">
        <v>4428.3331500000004</v>
      </c>
      <c r="D204" s="629">
        <v>4943.16</v>
      </c>
      <c r="E204" s="630">
        <f t="shared" si="23"/>
        <v>514.82684999999947</v>
      </c>
    </row>
    <row r="205" spans="1:5" s="421" customFormat="1" x14ac:dyDescent="0.2">
      <c r="A205" s="588">
        <v>3</v>
      </c>
      <c r="B205" s="587" t="s">
        <v>776</v>
      </c>
      <c r="C205" s="629">
        <f>C206+C207</f>
        <v>1331.2238399999999</v>
      </c>
      <c r="D205" s="629">
        <f>D206+D207</f>
        <v>1506.96</v>
      </c>
      <c r="E205" s="630">
        <f t="shared" si="23"/>
        <v>175.73616000000015</v>
      </c>
    </row>
    <row r="206" spans="1:5" s="421" customFormat="1" x14ac:dyDescent="0.2">
      <c r="A206" s="588">
        <v>4</v>
      </c>
      <c r="B206" s="587" t="s">
        <v>115</v>
      </c>
      <c r="C206" s="629">
        <v>1331.2238399999999</v>
      </c>
      <c r="D206" s="629">
        <v>1506.96</v>
      </c>
      <c r="E206" s="630">
        <f t="shared" si="23"/>
        <v>175.73616000000015</v>
      </c>
    </row>
    <row r="207" spans="1:5" s="421" customFormat="1" x14ac:dyDescent="0.2">
      <c r="A207" s="588">
        <v>5</v>
      </c>
      <c r="B207" s="587" t="s">
        <v>742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6.5644999999999998</v>
      </c>
      <c r="D208" s="629">
        <v>7.7</v>
      </c>
      <c r="E208" s="630">
        <f t="shared" si="23"/>
        <v>1.1355000000000004</v>
      </c>
    </row>
    <row r="209" spans="1:5" s="421" customFormat="1" x14ac:dyDescent="0.2">
      <c r="A209" s="588">
        <v>7</v>
      </c>
      <c r="B209" s="587" t="s">
        <v>757</v>
      </c>
      <c r="C209" s="629">
        <v>10.20987</v>
      </c>
      <c r="D209" s="629">
        <v>19.38</v>
      </c>
      <c r="E209" s="630">
        <f t="shared" si="23"/>
        <v>9.1701299999999986</v>
      </c>
    </row>
    <row r="210" spans="1:5" s="421" customFormat="1" x14ac:dyDescent="0.2">
      <c r="A210" s="588"/>
      <c r="B210" s="592" t="s">
        <v>822</v>
      </c>
      <c r="C210" s="631">
        <f>C204+C205+C208</f>
        <v>5766.1214900000004</v>
      </c>
      <c r="D210" s="631">
        <f>D204+D205+D208</f>
        <v>6457.82</v>
      </c>
      <c r="E210" s="632">
        <f t="shared" si="23"/>
        <v>691.69850999999926</v>
      </c>
    </row>
    <row r="211" spans="1:5" s="421" customFormat="1" x14ac:dyDescent="0.2">
      <c r="A211" s="588"/>
      <c r="B211" s="592" t="s">
        <v>723</v>
      </c>
      <c r="C211" s="631">
        <f>C210+C203</f>
        <v>7894.9824900000003</v>
      </c>
      <c r="D211" s="631">
        <f>D210+D203</f>
        <v>9132.5299999999988</v>
      </c>
      <c r="E211" s="632">
        <f t="shared" si="23"/>
        <v>1237.5475099999985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823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655</v>
      </c>
      <c r="C215" s="633">
        <f>IF(C14*C137=0,0,C25/C14*C137)</f>
        <v>4696.9464186763435</v>
      </c>
      <c r="D215" s="633">
        <f>IF(D14*D137=0,0,D25/D14*D137)</f>
        <v>4724.554688825554</v>
      </c>
      <c r="E215" s="633">
        <f t="shared" ref="E215:E223" si="24">D215-C215</f>
        <v>27.608270149210512</v>
      </c>
    </row>
    <row r="216" spans="1:5" s="421" customFormat="1" x14ac:dyDescent="0.2">
      <c r="A216" s="588">
        <v>2</v>
      </c>
      <c r="B216" s="587" t="s">
        <v>634</v>
      </c>
      <c r="C216" s="633">
        <f>IF(C15*C138=0,0,C26/C15*C138)</f>
        <v>2907.3070590128286</v>
      </c>
      <c r="D216" s="633">
        <f>IF(D15*D138=0,0,D26/D15*D138)</f>
        <v>2875.2366224920615</v>
      </c>
      <c r="E216" s="633">
        <f t="shared" si="24"/>
        <v>-32.070436520767089</v>
      </c>
    </row>
    <row r="217" spans="1:5" s="421" customFormat="1" x14ac:dyDescent="0.2">
      <c r="A217" s="588">
        <v>3</v>
      </c>
      <c r="B217" s="587" t="s">
        <v>776</v>
      </c>
      <c r="C217" s="633">
        <f>C218+C219</f>
        <v>2925.4423568995117</v>
      </c>
      <c r="D217" s="633">
        <f>D218+D219</f>
        <v>3216.9905154217945</v>
      </c>
      <c r="E217" s="633">
        <f t="shared" si="24"/>
        <v>291.54815852228285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2925.4423568995117</v>
      </c>
      <c r="D218" s="633">
        <f t="shared" si="25"/>
        <v>3216.9905154217945</v>
      </c>
      <c r="E218" s="633">
        <f t="shared" si="24"/>
        <v>291.54815852228285</v>
      </c>
    </row>
    <row r="219" spans="1:5" s="421" customFormat="1" x14ac:dyDescent="0.2">
      <c r="A219" s="588">
        <v>5</v>
      </c>
      <c r="B219" s="587" t="s">
        <v>742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28.114169629253428</v>
      </c>
      <c r="D220" s="633">
        <f t="shared" si="25"/>
        <v>23.303556430131266</v>
      </c>
      <c r="E220" s="633">
        <f t="shared" si="24"/>
        <v>-4.8106131991221623</v>
      </c>
    </row>
    <row r="221" spans="1:5" s="421" customFormat="1" x14ac:dyDescent="0.2">
      <c r="A221" s="588">
        <v>7</v>
      </c>
      <c r="B221" s="587" t="s">
        <v>757</v>
      </c>
      <c r="C221" s="633">
        <f t="shared" si="25"/>
        <v>95.444158157046516</v>
      </c>
      <c r="D221" s="633">
        <f t="shared" si="25"/>
        <v>131.01808506013435</v>
      </c>
      <c r="E221" s="633">
        <f t="shared" si="24"/>
        <v>35.573926903087838</v>
      </c>
    </row>
    <row r="222" spans="1:5" s="421" customFormat="1" x14ac:dyDescent="0.2">
      <c r="A222" s="588"/>
      <c r="B222" s="592" t="s">
        <v>824</v>
      </c>
      <c r="C222" s="634">
        <f>C216+C218+C219+C220</f>
        <v>5860.8635855415932</v>
      </c>
      <c r="D222" s="634">
        <f>D216+D218+D219+D220</f>
        <v>6115.5306943439882</v>
      </c>
      <c r="E222" s="634">
        <f t="shared" si="24"/>
        <v>254.66710880239498</v>
      </c>
    </row>
    <row r="223" spans="1:5" s="421" customFormat="1" x14ac:dyDescent="0.2">
      <c r="A223" s="588"/>
      <c r="B223" s="592" t="s">
        <v>825</v>
      </c>
      <c r="C223" s="634">
        <f>C215+C222</f>
        <v>10557.810004217936</v>
      </c>
      <c r="D223" s="634">
        <f>D215+D222</f>
        <v>10840.085383169542</v>
      </c>
      <c r="E223" s="634">
        <f t="shared" si="24"/>
        <v>282.2753789516064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826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655</v>
      </c>
      <c r="C227" s="636">
        <f t="shared" ref="C227:D235" si="26">IF(C203=0,0,C47/C203)</f>
        <v>10402.559396785418</v>
      </c>
      <c r="D227" s="636">
        <f t="shared" si="26"/>
        <v>10189.975735687234</v>
      </c>
      <c r="E227" s="636">
        <f t="shared" ref="E227:E235" si="27">D227-C227</f>
        <v>-212.58366109818417</v>
      </c>
    </row>
    <row r="228" spans="1:5" s="421" customFormat="1" x14ac:dyDescent="0.2">
      <c r="A228" s="588">
        <v>2</v>
      </c>
      <c r="B228" s="587" t="s">
        <v>634</v>
      </c>
      <c r="C228" s="636">
        <f t="shared" si="26"/>
        <v>7865.2113154585031</v>
      </c>
      <c r="D228" s="636">
        <f t="shared" si="26"/>
        <v>8391.4801463031745</v>
      </c>
      <c r="E228" s="636">
        <f t="shared" si="27"/>
        <v>526.26883084467136</v>
      </c>
    </row>
    <row r="229" spans="1:5" s="421" customFormat="1" x14ac:dyDescent="0.2">
      <c r="A229" s="588">
        <v>3</v>
      </c>
      <c r="B229" s="587" t="s">
        <v>776</v>
      </c>
      <c r="C229" s="636">
        <f t="shared" si="26"/>
        <v>5839.2426325538163</v>
      </c>
      <c r="D229" s="636">
        <f t="shared" si="26"/>
        <v>5584.1747624356321</v>
      </c>
      <c r="E229" s="636">
        <f t="shared" si="27"/>
        <v>-255.06787011818415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5839.2426325538163</v>
      </c>
      <c r="D230" s="636">
        <f t="shared" si="26"/>
        <v>5584.1747624356321</v>
      </c>
      <c r="E230" s="636">
        <f t="shared" si="27"/>
        <v>-255.06787011818415</v>
      </c>
    </row>
    <row r="231" spans="1:5" s="421" customFormat="1" x14ac:dyDescent="0.2">
      <c r="A231" s="588">
        <v>5</v>
      </c>
      <c r="B231" s="587" t="s">
        <v>742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0</v>
      </c>
      <c r="D232" s="636">
        <f t="shared" si="26"/>
        <v>21647.272727272728</v>
      </c>
      <c r="E232" s="636">
        <f t="shared" si="27"/>
        <v>21647.272727272728</v>
      </c>
    </row>
    <row r="233" spans="1:5" s="421" customFormat="1" x14ac:dyDescent="0.2">
      <c r="A233" s="588">
        <v>7</v>
      </c>
      <c r="B233" s="587" t="s">
        <v>757</v>
      </c>
      <c r="C233" s="636">
        <f t="shared" si="26"/>
        <v>9700.5152856990335</v>
      </c>
      <c r="D233" s="636">
        <f t="shared" si="26"/>
        <v>7006.7079463364298</v>
      </c>
      <c r="E233" s="636">
        <f t="shared" si="27"/>
        <v>-2693.8073393626037</v>
      </c>
    </row>
    <row r="234" spans="1:5" x14ac:dyDescent="0.2">
      <c r="A234" s="588"/>
      <c r="B234" s="592" t="s">
        <v>827</v>
      </c>
      <c r="C234" s="637">
        <f t="shared" si="26"/>
        <v>7388.5219161415898</v>
      </c>
      <c r="D234" s="637">
        <f t="shared" si="26"/>
        <v>7752.1889739881262</v>
      </c>
      <c r="E234" s="637">
        <f t="shared" si="27"/>
        <v>363.66705784653641</v>
      </c>
    </row>
    <row r="235" spans="1:5" s="421" customFormat="1" x14ac:dyDescent="0.2">
      <c r="A235" s="588"/>
      <c r="B235" s="592" t="s">
        <v>828</v>
      </c>
      <c r="C235" s="637">
        <f t="shared" si="26"/>
        <v>8201.2490948539144</v>
      </c>
      <c r="D235" s="637">
        <f t="shared" si="26"/>
        <v>8466.1611842501479</v>
      </c>
      <c r="E235" s="637">
        <f t="shared" si="27"/>
        <v>264.91208939623357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829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655</v>
      </c>
      <c r="C239" s="636">
        <f t="shared" ref="C239:D247" si="28">IF(C215=0,0,C58/C215)</f>
        <v>9871.9233448413561</v>
      </c>
      <c r="D239" s="636">
        <f t="shared" si="28"/>
        <v>10350.269648832415</v>
      </c>
      <c r="E239" s="638">
        <f t="shared" ref="E239:E247" si="29">D239-C239</f>
        <v>478.34630399105845</v>
      </c>
    </row>
    <row r="240" spans="1:5" s="421" customFormat="1" x14ac:dyDescent="0.2">
      <c r="A240" s="588">
        <v>2</v>
      </c>
      <c r="B240" s="587" t="s">
        <v>634</v>
      </c>
      <c r="C240" s="636">
        <f t="shared" si="28"/>
        <v>6962.9022972460216</v>
      </c>
      <c r="D240" s="636">
        <f t="shared" si="28"/>
        <v>7172.3860355277375</v>
      </c>
      <c r="E240" s="638">
        <f t="shared" si="29"/>
        <v>209.48373828171589</v>
      </c>
    </row>
    <row r="241" spans="1:5" x14ac:dyDescent="0.2">
      <c r="A241" s="588">
        <v>3</v>
      </c>
      <c r="B241" s="587" t="s">
        <v>776</v>
      </c>
      <c r="C241" s="636">
        <f t="shared" si="28"/>
        <v>4304.8060647303273</v>
      </c>
      <c r="D241" s="636">
        <f t="shared" si="28"/>
        <v>4209.136749109939</v>
      </c>
      <c r="E241" s="638">
        <f t="shared" si="29"/>
        <v>-95.669315620388261</v>
      </c>
    </row>
    <row r="242" spans="1:5" x14ac:dyDescent="0.2">
      <c r="A242" s="588">
        <v>4</v>
      </c>
      <c r="B242" s="587" t="s">
        <v>115</v>
      </c>
      <c r="C242" s="636">
        <f t="shared" si="28"/>
        <v>4304.8060647303273</v>
      </c>
      <c r="D242" s="636">
        <f t="shared" si="28"/>
        <v>4209.136749109939</v>
      </c>
      <c r="E242" s="638">
        <f t="shared" si="29"/>
        <v>-95.669315620388261</v>
      </c>
    </row>
    <row r="243" spans="1:5" x14ac:dyDescent="0.2">
      <c r="A243" s="588">
        <v>5</v>
      </c>
      <c r="B243" s="587" t="s">
        <v>742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2732.6078277646106</v>
      </c>
      <c r="D244" s="636">
        <f t="shared" si="28"/>
        <v>16668.400000000001</v>
      </c>
      <c r="E244" s="638">
        <f t="shared" si="29"/>
        <v>13935.792172235391</v>
      </c>
    </row>
    <row r="245" spans="1:5" x14ac:dyDescent="0.2">
      <c r="A245" s="588">
        <v>7</v>
      </c>
      <c r="B245" s="587" t="s">
        <v>757</v>
      </c>
      <c r="C245" s="636">
        <f t="shared" si="28"/>
        <v>2525.0366775036327</v>
      </c>
      <c r="D245" s="636">
        <f t="shared" si="28"/>
        <v>1305.9571121152253</v>
      </c>
      <c r="E245" s="638">
        <f t="shared" si="29"/>
        <v>-1219.0795653884074</v>
      </c>
    </row>
    <row r="246" spans="1:5" ht="25.5" x14ac:dyDescent="0.2">
      <c r="A246" s="588"/>
      <c r="B246" s="592" t="s">
        <v>830</v>
      </c>
      <c r="C246" s="637">
        <f t="shared" si="28"/>
        <v>5615.8246169038766</v>
      </c>
      <c r="D246" s="637">
        <f t="shared" si="28"/>
        <v>5649.7947156009377</v>
      </c>
      <c r="E246" s="639">
        <f t="shared" si="29"/>
        <v>33.970098697061076</v>
      </c>
    </row>
    <row r="247" spans="1:5" x14ac:dyDescent="0.2">
      <c r="A247" s="588"/>
      <c r="B247" s="592" t="s">
        <v>831</v>
      </c>
      <c r="C247" s="637">
        <f t="shared" si="28"/>
        <v>7509.2729428097655</v>
      </c>
      <c r="D247" s="637">
        <f t="shared" si="28"/>
        <v>7698.4548599191403</v>
      </c>
      <c r="E247" s="639">
        <f t="shared" si="29"/>
        <v>189.18191710937481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759</v>
      </c>
      <c r="B249" s="626" t="s">
        <v>756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7776107.3073164253</v>
      </c>
      <c r="D251" s="622">
        <f>((IF((IF(D15=0,0,D26/D15)*D138)=0,0,D59/(IF(D15=0,0,D26/D15)*D138)))-(IF((IF(D17=0,0,D28/D17)*D140)=0,0,D61/(IF(D17=0,0,D28/D17)*D140))))*(IF(D17=0,0,D28/D17)*D140)</f>
        <v>9532744.8492364585</v>
      </c>
      <c r="E251" s="622">
        <f>D251-C251</f>
        <v>1756637.5419200333</v>
      </c>
    </row>
    <row r="252" spans="1:5" x14ac:dyDescent="0.2">
      <c r="A252" s="588">
        <v>2</v>
      </c>
      <c r="B252" s="587" t="s">
        <v>742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757</v>
      </c>
      <c r="C253" s="622">
        <f>IF(C233=0,0,(C228-C233)*C209+IF(C221=0,0,(C240-C245)*C221))</f>
        <v>404830.13314377214</v>
      </c>
      <c r="D253" s="622">
        <f>IF(D233=0,0,(D228-D233)*D209+IF(D221=0,0,(D240-D245)*D221))</f>
        <v>795445.1689222483</v>
      </c>
      <c r="E253" s="622">
        <f>D253-C253</f>
        <v>390615.03577847616</v>
      </c>
    </row>
    <row r="254" spans="1:5" ht="15" customHeight="1" x14ac:dyDescent="0.2">
      <c r="A254" s="588"/>
      <c r="B254" s="592" t="s">
        <v>758</v>
      </c>
      <c r="C254" s="640">
        <f>+C251+C252+C253</f>
        <v>8180937.4404601976</v>
      </c>
      <c r="D254" s="640">
        <f>+D251+D252+D253</f>
        <v>10328190.018158708</v>
      </c>
      <c r="E254" s="640">
        <f>D254-C254</f>
        <v>2147252.5776985101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832</v>
      </c>
      <c r="B256" s="626" t="s">
        <v>833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724</v>
      </c>
      <c r="C258" s="622">
        <f>+C44</f>
        <v>511809633</v>
      </c>
      <c r="D258" s="625">
        <f>+D44</f>
        <v>552238244</v>
      </c>
      <c r="E258" s="622">
        <f t="shared" ref="E258:E271" si="30">D258-C258</f>
        <v>40428611</v>
      </c>
    </row>
    <row r="259" spans="1:5" x14ac:dyDescent="0.2">
      <c r="A259" s="588">
        <v>2</v>
      </c>
      <c r="B259" s="587" t="s">
        <v>741</v>
      </c>
      <c r="C259" s="622">
        <f>+(C43-C76)</f>
        <v>258687530</v>
      </c>
      <c r="D259" s="625">
        <f>+(D43-D76)</f>
        <v>272100008</v>
      </c>
      <c r="E259" s="622">
        <f t="shared" si="30"/>
        <v>13412478</v>
      </c>
    </row>
    <row r="260" spans="1:5" x14ac:dyDescent="0.2">
      <c r="A260" s="588">
        <v>3</v>
      </c>
      <c r="B260" s="587" t="s">
        <v>745</v>
      </c>
      <c r="C260" s="622">
        <f>C195</f>
        <v>4906605</v>
      </c>
      <c r="D260" s="622">
        <f>D195</f>
        <v>5657685</v>
      </c>
      <c r="E260" s="622">
        <f t="shared" si="30"/>
        <v>751080</v>
      </c>
    </row>
    <row r="261" spans="1:5" x14ac:dyDescent="0.2">
      <c r="A261" s="588">
        <v>4</v>
      </c>
      <c r="B261" s="587" t="s">
        <v>746</v>
      </c>
      <c r="C261" s="622">
        <f>C188</f>
        <v>104185303</v>
      </c>
      <c r="D261" s="622">
        <f>D188</f>
        <v>113711172</v>
      </c>
      <c r="E261" s="622">
        <f t="shared" si="30"/>
        <v>9525869</v>
      </c>
    </row>
    <row r="262" spans="1:5" x14ac:dyDescent="0.2">
      <c r="A262" s="588">
        <v>5</v>
      </c>
      <c r="B262" s="587" t="s">
        <v>747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748</v>
      </c>
      <c r="C263" s="622">
        <f>+C259+C260+C261+C262</f>
        <v>367779438</v>
      </c>
      <c r="D263" s="622">
        <f>+D259+D260+D261+D262</f>
        <v>391468865</v>
      </c>
      <c r="E263" s="622">
        <f t="shared" si="30"/>
        <v>23689427</v>
      </c>
    </row>
    <row r="264" spans="1:5" x14ac:dyDescent="0.2">
      <c r="A264" s="588">
        <v>7</v>
      </c>
      <c r="B264" s="587" t="s">
        <v>653</v>
      </c>
      <c r="C264" s="622">
        <f>+C258-C263</f>
        <v>144030195</v>
      </c>
      <c r="D264" s="622">
        <f>+D258-D263</f>
        <v>160769379</v>
      </c>
      <c r="E264" s="622">
        <f t="shared" si="30"/>
        <v>16739184</v>
      </c>
    </row>
    <row r="265" spans="1:5" x14ac:dyDescent="0.2">
      <c r="A265" s="588">
        <v>8</v>
      </c>
      <c r="B265" s="587" t="s">
        <v>834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835</v>
      </c>
      <c r="C266" s="622">
        <f>+C264+C265</f>
        <v>144030195</v>
      </c>
      <c r="D266" s="622">
        <f>+D264+D265</f>
        <v>160769379</v>
      </c>
      <c r="E266" s="641">
        <f t="shared" si="30"/>
        <v>16739184</v>
      </c>
    </row>
    <row r="267" spans="1:5" x14ac:dyDescent="0.2">
      <c r="A267" s="588">
        <v>10</v>
      </c>
      <c r="B267" s="587" t="s">
        <v>836</v>
      </c>
      <c r="C267" s="642">
        <f>IF(C258=0,0,C266/C258)</f>
        <v>0.28141360715654995</v>
      </c>
      <c r="D267" s="642">
        <f>IF(D258=0,0,D266/D258)</f>
        <v>0.29112322579382965</v>
      </c>
      <c r="E267" s="643">
        <f t="shared" si="30"/>
        <v>9.7096186372797044E-3</v>
      </c>
    </row>
    <row r="268" spans="1:5" x14ac:dyDescent="0.2">
      <c r="A268" s="588">
        <v>11</v>
      </c>
      <c r="B268" s="587" t="s">
        <v>715</v>
      </c>
      <c r="C268" s="622">
        <f>+C260*C267</f>
        <v>1380785.4119423637</v>
      </c>
      <c r="D268" s="644">
        <f>+D260*D267</f>
        <v>1647083.5077253631</v>
      </c>
      <c r="E268" s="622">
        <f t="shared" si="30"/>
        <v>266298.09578299941</v>
      </c>
    </row>
    <row r="269" spans="1:5" x14ac:dyDescent="0.2">
      <c r="A269" s="588">
        <v>12</v>
      </c>
      <c r="B269" s="587" t="s">
        <v>837</v>
      </c>
      <c r="C269" s="622">
        <f>((C17+C18+C28+C29)*C267)-(C50+C51+C61+C62)</f>
        <v>9628718.8357763924</v>
      </c>
      <c r="D269" s="644">
        <f>((D17+D18+D28+D29)*D267)-(D50+D51+D61+D62)</f>
        <v>11698554.299668618</v>
      </c>
      <c r="E269" s="622">
        <f t="shared" si="30"/>
        <v>2069835.4638922252</v>
      </c>
    </row>
    <row r="270" spans="1:5" s="648" customFormat="1" x14ac:dyDescent="0.2">
      <c r="A270" s="645">
        <v>13</v>
      </c>
      <c r="B270" s="646" t="s">
        <v>838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839</v>
      </c>
      <c r="C271" s="622">
        <f>+C268+C269+C270</f>
        <v>11009504.247718755</v>
      </c>
      <c r="D271" s="622">
        <f>+D268+D269+D270</f>
        <v>13345637.807393981</v>
      </c>
      <c r="E271" s="625">
        <f t="shared" si="30"/>
        <v>2336133.559675226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840</v>
      </c>
      <c r="B273" s="626" t="s">
        <v>841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842</v>
      </c>
      <c r="C275" s="425"/>
      <c r="D275" s="425"/>
      <c r="E275" s="596"/>
    </row>
    <row r="276" spans="1:5" x14ac:dyDescent="0.2">
      <c r="A276" s="588">
        <v>1</v>
      </c>
      <c r="B276" s="587" t="s">
        <v>655</v>
      </c>
      <c r="C276" s="623">
        <f t="shared" ref="C276:D284" si="31">IF(C14=0,0,+C47/C14)</f>
        <v>0.41319328965501323</v>
      </c>
      <c r="D276" s="623">
        <f t="shared" si="31"/>
        <v>0.41763016654760488</v>
      </c>
      <c r="E276" s="650">
        <f t="shared" ref="E276:E284" si="32">D276-C276</f>
        <v>4.4368768925916457E-3</v>
      </c>
    </row>
    <row r="277" spans="1:5" x14ac:dyDescent="0.2">
      <c r="A277" s="588">
        <v>2</v>
      </c>
      <c r="B277" s="587" t="s">
        <v>634</v>
      </c>
      <c r="C277" s="623">
        <f t="shared" si="31"/>
        <v>0.28507350053218566</v>
      </c>
      <c r="D277" s="623">
        <f t="shared" si="31"/>
        <v>0.31084729148509271</v>
      </c>
      <c r="E277" s="650">
        <f t="shared" si="32"/>
        <v>2.577379095290705E-2</v>
      </c>
    </row>
    <row r="278" spans="1:5" x14ac:dyDescent="0.2">
      <c r="A278" s="588">
        <v>3</v>
      </c>
      <c r="B278" s="587" t="s">
        <v>776</v>
      </c>
      <c r="C278" s="623">
        <f t="shared" si="31"/>
        <v>0.2130121481506814</v>
      </c>
      <c r="D278" s="623">
        <f t="shared" si="31"/>
        <v>0.21575941788353512</v>
      </c>
      <c r="E278" s="650">
        <f t="shared" si="32"/>
        <v>2.7472697328537188E-3</v>
      </c>
    </row>
    <row r="279" spans="1:5" x14ac:dyDescent="0.2">
      <c r="A279" s="588">
        <v>4</v>
      </c>
      <c r="B279" s="587" t="s">
        <v>115</v>
      </c>
      <c r="C279" s="623">
        <f t="shared" si="31"/>
        <v>0.2130121481506814</v>
      </c>
      <c r="D279" s="623">
        <f t="shared" si="31"/>
        <v>0.21575941788353512</v>
      </c>
      <c r="E279" s="650">
        <f t="shared" si="32"/>
        <v>2.7472697328537188E-3</v>
      </c>
    </row>
    <row r="280" spans="1:5" x14ac:dyDescent="0.2">
      <c r="A280" s="588">
        <v>5</v>
      </c>
      <c r="B280" s="587" t="s">
        <v>742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</v>
      </c>
      <c r="D281" s="623">
        <f t="shared" si="31"/>
        <v>1</v>
      </c>
      <c r="E281" s="650">
        <f t="shared" si="32"/>
        <v>1</v>
      </c>
    </row>
    <row r="282" spans="1:5" x14ac:dyDescent="0.2">
      <c r="A282" s="588">
        <v>7</v>
      </c>
      <c r="B282" s="587" t="s">
        <v>757</v>
      </c>
      <c r="C282" s="623">
        <f t="shared" si="31"/>
        <v>0.33533207833364936</v>
      </c>
      <c r="D282" s="623">
        <f t="shared" si="31"/>
        <v>0.3472525898818794</v>
      </c>
      <c r="E282" s="650">
        <f t="shared" si="32"/>
        <v>1.1920511548230039E-2</v>
      </c>
    </row>
    <row r="283" spans="1:5" ht="29.25" customHeight="1" x14ac:dyDescent="0.2">
      <c r="A283" s="588"/>
      <c r="B283" s="592" t="s">
        <v>843</v>
      </c>
      <c r="C283" s="651">
        <f t="shared" si="31"/>
        <v>0.2682505425977979</v>
      </c>
      <c r="D283" s="651">
        <f t="shared" si="31"/>
        <v>0.29002731325533498</v>
      </c>
      <c r="E283" s="652">
        <f t="shared" si="32"/>
        <v>2.1776770657537081E-2</v>
      </c>
    </row>
    <row r="284" spans="1:5" x14ac:dyDescent="0.2">
      <c r="A284" s="588"/>
      <c r="B284" s="592" t="s">
        <v>844</v>
      </c>
      <c r="C284" s="651">
        <f t="shared" si="31"/>
        <v>0.3048223449606961</v>
      </c>
      <c r="D284" s="651">
        <f t="shared" si="31"/>
        <v>0.32503567301217839</v>
      </c>
      <c r="E284" s="652">
        <f t="shared" si="32"/>
        <v>2.0213328051482293E-2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845</v>
      </c>
      <c r="C286" s="596"/>
      <c r="D286" s="596"/>
      <c r="E286" s="596"/>
    </row>
    <row r="287" spans="1:5" x14ac:dyDescent="0.2">
      <c r="A287" s="588">
        <v>1</v>
      </c>
      <c r="B287" s="587" t="s">
        <v>655</v>
      </c>
      <c r="C287" s="623">
        <f t="shared" ref="C287:D295" si="33">IF(C25=0,0,+C58/C25)</f>
        <v>0.37390697099629927</v>
      </c>
      <c r="D287" s="623">
        <f t="shared" si="33"/>
        <v>0.37539798085656972</v>
      </c>
      <c r="E287" s="650">
        <f t="shared" ref="E287:E295" si="34">D287-C287</f>
        <v>1.4910098602704536E-3</v>
      </c>
    </row>
    <row r="288" spans="1:5" x14ac:dyDescent="0.2">
      <c r="A288" s="588">
        <v>2</v>
      </c>
      <c r="B288" s="587" t="s">
        <v>634</v>
      </c>
      <c r="C288" s="623">
        <f t="shared" si="33"/>
        <v>0.19302415731303457</v>
      </c>
      <c r="D288" s="623">
        <f t="shared" si="33"/>
        <v>0.19252763946964363</v>
      </c>
      <c r="E288" s="650">
        <f t="shared" si="34"/>
        <v>-4.9651784339094229E-4</v>
      </c>
    </row>
    <row r="289" spans="1:5" x14ac:dyDescent="0.2">
      <c r="A289" s="588">
        <v>3</v>
      </c>
      <c r="B289" s="587" t="s">
        <v>776</v>
      </c>
      <c r="C289" s="623">
        <f t="shared" si="33"/>
        <v>0.17965952964826301</v>
      </c>
      <c r="D289" s="623">
        <f t="shared" si="33"/>
        <v>0.17677301470041754</v>
      </c>
      <c r="E289" s="650">
        <f t="shared" si="34"/>
        <v>-2.8865149478454755E-3</v>
      </c>
    </row>
    <row r="290" spans="1:5" x14ac:dyDescent="0.2">
      <c r="A290" s="588">
        <v>4</v>
      </c>
      <c r="B290" s="587" t="s">
        <v>115</v>
      </c>
      <c r="C290" s="623">
        <f t="shared" si="33"/>
        <v>0.17965952964826301</v>
      </c>
      <c r="D290" s="623">
        <f t="shared" si="33"/>
        <v>0.17677301470041754</v>
      </c>
      <c r="E290" s="650">
        <f t="shared" si="34"/>
        <v>-2.8865149478454755E-3</v>
      </c>
    </row>
    <row r="291" spans="1:5" x14ac:dyDescent="0.2">
      <c r="A291" s="588">
        <v>5</v>
      </c>
      <c r="B291" s="587" t="s">
        <v>742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0.1850420062816733</v>
      </c>
      <c r="D292" s="623">
        <f t="shared" si="33"/>
        <v>1</v>
      </c>
      <c r="E292" s="650">
        <f t="shared" si="34"/>
        <v>0.81495799371832667</v>
      </c>
    </row>
    <row r="293" spans="1:5" x14ac:dyDescent="0.2">
      <c r="A293" s="588">
        <v>7</v>
      </c>
      <c r="B293" s="587" t="s">
        <v>757</v>
      </c>
      <c r="C293" s="623">
        <f t="shared" si="33"/>
        <v>9.4041697542389974E-2</v>
      </c>
      <c r="D293" s="623">
        <f t="shared" si="33"/>
        <v>6.3454177772124351E-2</v>
      </c>
      <c r="E293" s="650">
        <f t="shared" si="34"/>
        <v>-3.0587519770265623E-2</v>
      </c>
    </row>
    <row r="294" spans="1:5" ht="29.25" customHeight="1" x14ac:dyDescent="0.2">
      <c r="A294" s="588"/>
      <c r="B294" s="592" t="s">
        <v>846</v>
      </c>
      <c r="C294" s="651">
        <f t="shared" si="33"/>
        <v>0.18766383626163965</v>
      </c>
      <c r="D294" s="651">
        <f t="shared" si="33"/>
        <v>0.18767624169573949</v>
      </c>
      <c r="E294" s="652">
        <f t="shared" si="34"/>
        <v>1.2405434099832524E-5</v>
      </c>
    </row>
    <row r="295" spans="1:5" x14ac:dyDescent="0.2">
      <c r="A295" s="588"/>
      <c r="B295" s="592" t="s">
        <v>847</v>
      </c>
      <c r="C295" s="651">
        <f t="shared" si="33"/>
        <v>0.26480558989109199</v>
      </c>
      <c r="D295" s="651">
        <f t="shared" si="33"/>
        <v>0.26546229975506486</v>
      </c>
      <c r="E295" s="652">
        <f t="shared" si="34"/>
        <v>6.5670986397287079E-4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848</v>
      </c>
      <c r="B297" s="579" t="s">
        <v>849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850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653</v>
      </c>
      <c r="C301" s="590">
        <f>+C48+C47+C50+C51+C52+C59+C58+C61+C62+C63</f>
        <v>144030195</v>
      </c>
      <c r="D301" s="590">
        <f>+D48+D47+D50+D51+D52+D59+D58+D61+D62+D63</f>
        <v>160769379</v>
      </c>
      <c r="E301" s="590">
        <f>D301-C301</f>
        <v>16739184</v>
      </c>
    </row>
    <row r="302" spans="1:5" ht="25.5" x14ac:dyDescent="0.2">
      <c r="A302" s="588">
        <v>2</v>
      </c>
      <c r="B302" s="587" t="s">
        <v>851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852</v>
      </c>
      <c r="C303" s="593">
        <f>+C301+C302</f>
        <v>144030195</v>
      </c>
      <c r="D303" s="593">
        <f>+D301+D302</f>
        <v>160769379</v>
      </c>
      <c r="E303" s="593">
        <f>D303-C303</f>
        <v>16739184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853</v>
      </c>
      <c r="C305" s="589">
        <v>-1080839</v>
      </c>
      <c r="D305" s="654">
        <v>-1754760</v>
      </c>
      <c r="E305" s="655">
        <f>D305-C305</f>
        <v>-673921</v>
      </c>
    </row>
    <row r="306" spans="1:5" x14ac:dyDescent="0.2">
      <c r="A306" s="588">
        <v>4</v>
      </c>
      <c r="B306" s="592" t="s">
        <v>854</v>
      </c>
      <c r="C306" s="593">
        <f>+C303+C305+C194+C190-C191</f>
        <v>144733462</v>
      </c>
      <c r="D306" s="593">
        <f>+D303+D305</f>
        <v>159014619</v>
      </c>
      <c r="E306" s="656">
        <f>D306-C306</f>
        <v>14281157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855</v>
      </c>
      <c r="C308" s="589">
        <v>142949359</v>
      </c>
      <c r="D308" s="589">
        <v>159014625</v>
      </c>
      <c r="E308" s="590">
        <f>D308-C308</f>
        <v>16065266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856</v>
      </c>
      <c r="C310" s="657">
        <f>C306-C308</f>
        <v>1784103</v>
      </c>
      <c r="D310" s="658">
        <f>D306-D308</f>
        <v>-6</v>
      </c>
      <c r="E310" s="656">
        <f>D310-C310</f>
        <v>-1784109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857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858</v>
      </c>
      <c r="C314" s="590">
        <f>+C14+C15+C16+C19+C25+C26+C27+C30</f>
        <v>511809633</v>
      </c>
      <c r="D314" s="590">
        <f>+D14+D15+D16+D19+D25+D26+D27+D30</f>
        <v>552238244</v>
      </c>
      <c r="E314" s="590">
        <f>D314-C314</f>
        <v>40428611</v>
      </c>
    </row>
    <row r="315" spans="1:5" x14ac:dyDescent="0.2">
      <c r="A315" s="588">
        <v>2</v>
      </c>
      <c r="B315" s="659" t="s">
        <v>859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860</v>
      </c>
      <c r="C316" s="657">
        <f>C314+C315</f>
        <v>511809633</v>
      </c>
      <c r="D316" s="657">
        <f>D314+D315</f>
        <v>552238244</v>
      </c>
      <c r="E316" s="593">
        <f>D316-C316</f>
        <v>40428611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861</v>
      </c>
      <c r="C318" s="589">
        <v>511809632</v>
      </c>
      <c r="D318" s="589">
        <v>552238245</v>
      </c>
      <c r="E318" s="590">
        <f>D318-C318</f>
        <v>40428613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856</v>
      </c>
      <c r="C320" s="657">
        <f>C316-C318</f>
        <v>1</v>
      </c>
      <c r="D320" s="657">
        <f>D316-D318</f>
        <v>-1</v>
      </c>
      <c r="E320" s="593">
        <f>D320-C320</f>
        <v>-2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862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863</v>
      </c>
      <c r="C324" s="589">
        <f>+C193+C194</f>
        <v>4906605</v>
      </c>
      <c r="D324" s="589">
        <f>+D193+D194</f>
        <v>5657685</v>
      </c>
      <c r="E324" s="590">
        <f>D324-C324</f>
        <v>751080</v>
      </c>
    </row>
    <row r="325" spans="1:5" x14ac:dyDescent="0.2">
      <c r="A325" s="588">
        <v>2</v>
      </c>
      <c r="B325" s="587" t="s">
        <v>864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865</v>
      </c>
      <c r="C326" s="657">
        <f>C324+C325</f>
        <v>4906605</v>
      </c>
      <c r="D326" s="657">
        <f>D324+D325</f>
        <v>5657685</v>
      </c>
      <c r="E326" s="593">
        <f>D326-C326</f>
        <v>751080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866</v>
      </c>
      <c r="C328" s="589">
        <v>4906605</v>
      </c>
      <c r="D328" s="589">
        <v>5657685</v>
      </c>
      <c r="E328" s="590">
        <f>D328-C328</f>
        <v>751080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867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25" right="0.25" top="0.75" bottom="0.75" header="0.3" footer="0.3"/>
  <pageSetup scale="74" fitToHeight="0" orientation="portrait" r:id="rId1"/>
  <headerFooter>
    <oddHeader>_x000D_
                &amp;LOFFICE OF HEALTH CARE ACCESS&amp;CTWELVE MONTHS ACTUAL FILING&amp;RGRIFFIN HOSPITAL</oddHeader>
    <oddFooter>&amp;LREPORT 550&amp;CPAGE &amp;P of &amp;N&amp;R&amp;D,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628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868</v>
      </c>
      <c r="B5" s="824"/>
      <c r="C5" s="825"/>
      <c r="D5" s="661"/>
    </row>
    <row r="6" spans="1:58" s="662" customFormat="1" ht="15.75" customHeight="1" x14ac:dyDescent="0.25">
      <c r="A6" s="823" t="s">
        <v>869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870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871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775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655</v>
      </c>
      <c r="C14" s="589">
        <v>65261641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634</v>
      </c>
      <c r="C15" s="591">
        <v>133443109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776</v>
      </c>
      <c r="C16" s="591">
        <v>39002367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39002367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742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166684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757</v>
      </c>
      <c r="C20" s="591">
        <v>391041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777</v>
      </c>
      <c r="C21" s="593">
        <f>SUM(C15+C16+C19)</f>
        <v>172612160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237873801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778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655</v>
      </c>
      <c r="C25" s="589">
        <v>130262861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634</v>
      </c>
      <c r="C26" s="591">
        <v>107113488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776</v>
      </c>
      <c r="C27" s="591">
        <v>76599661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76599661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742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388433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757</v>
      </c>
      <c r="C31" s="594">
        <v>2696497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779</v>
      </c>
      <c r="C32" s="593">
        <f>SUM(C26+C27+C30)</f>
        <v>184101582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314364443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652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872</v>
      </c>
      <c r="C36" s="590">
        <f>SUM(C14+C25)</f>
        <v>195524502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873</v>
      </c>
      <c r="C37" s="594">
        <f>SUM(C21+C32)</f>
        <v>356713742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652</v>
      </c>
      <c r="C38" s="593">
        <f>SUM(+C36+C37)</f>
        <v>552238244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788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655</v>
      </c>
      <c r="C41" s="589">
        <v>27255230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634</v>
      </c>
      <c r="C42" s="591">
        <v>41480429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776</v>
      </c>
      <c r="C43" s="591">
        <v>8415128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8415128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742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166684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757</v>
      </c>
      <c r="C47" s="591">
        <v>135790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789</v>
      </c>
      <c r="C48" s="593">
        <f>SUM(C42+C43+C46)</f>
        <v>50062241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77317471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790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655</v>
      </c>
      <c r="C52" s="589">
        <v>48900415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634</v>
      </c>
      <c r="C53" s="591">
        <v>20622307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776</v>
      </c>
      <c r="C54" s="591">
        <v>13540753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13540753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742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388433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757</v>
      </c>
      <c r="C58" s="591">
        <v>171104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791</v>
      </c>
      <c r="C59" s="593">
        <f>SUM(C53+C54+C57)</f>
        <v>34551493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83451908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653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874</v>
      </c>
      <c r="C63" s="590">
        <f>SUM(C41+C52)</f>
        <v>76155645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875</v>
      </c>
      <c r="C64" s="594">
        <f>SUM(C48+C59)</f>
        <v>84613734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653</v>
      </c>
      <c r="C65" s="593">
        <f>SUM(+C63+C64)</f>
        <v>160769379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876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877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655</v>
      </c>
      <c r="C70" s="606">
        <v>2367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634</v>
      </c>
      <c r="C71" s="606">
        <v>3582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776</v>
      </c>
      <c r="C72" s="606">
        <v>1638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1638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742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10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757</v>
      </c>
      <c r="C76" s="621">
        <v>19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806</v>
      </c>
      <c r="C77" s="608">
        <f>SUM(C71+C72+C75)</f>
        <v>5230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7597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810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655</v>
      </c>
      <c r="C81" s="617">
        <v>1.1299999999999999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634</v>
      </c>
      <c r="C82" s="617">
        <v>1.38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776</v>
      </c>
      <c r="C83" s="617">
        <f>((C73*C84)+(C74*C85))/(C73+C74)</f>
        <v>0.92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0.92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742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0.77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757</v>
      </c>
      <c r="C87" s="617">
        <v>1.02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811</v>
      </c>
      <c r="C88" s="619">
        <f>((C71*C82)+(C73*C84)+(C74*C85)+(C75*C86))/(C71+C73+C74+C75)</f>
        <v>1.2347648183556406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722</v>
      </c>
      <c r="C89" s="619">
        <f>((C70*C81)+(C71*C82)+(C73*C84)+(C74*C85)+(C75*C86))/(C70+C71+C73+C74+C75)</f>
        <v>1.2021232065288929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812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813</v>
      </c>
      <c r="C92" s="589">
        <v>192436964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814</v>
      </c>
      <c r="C93" s="622">
        <v>78725792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667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746</v>
      </c>
      <c r="C95" s="589">
        <f>+C92-C93</f>
        <v>113711172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669</v>
      </c>
      <c r="C96" s="681">
        <f>(+C92-C93)/C92</f>
        <v>0.59090088326273948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761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747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878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816</v>
      </c>
      <c r="C103" s="589">
        <v>3734054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817</v>
      </c>
      <c r="C104" s="589">
        <v>1923631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818</v>
      </c>
      <c r="C105" s="654">
        <f>+C103+C104</f>
        <v>5657685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819</v>
      </c>
      <c r="C107" s="589">
        <v>8671262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709</v>
      </c>
      <c r="C108" s="589">
        <v>150278225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849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850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653</v>
      </c>
      <c r="C114" s="590">
        <f>+C65</f>
        <v>160769379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851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852</v>
      </c>
      <c r="C116" s="593">
        <f>+C114+C115</f>
        <v>160769379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853</v>
      </c>
      <c r="C118" s="654">
        <v>-1754760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854</v>
      </c>
      <c r="C119" s="656">
        <f>+C116+C118</f>
        <v>159014619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855</v>
      </c>
      <c r="C121" s="589">
        <v>159014625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856</v>
      </c>
      <c r="C123" s="658">
        <f>C119-C121</f>
        <v>-6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857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858</v>
      </c>
      <c r="C127" s="590">
        <f>C38</f>
        <v>552238244</v>
      </c>
      <c r="D127" s="664"/>
      <c r="AR127" s="485"/>
    </row>
    <row r="128" spans="1:58" s="421" customFormat="1" ht="12.75" x14ac:dyDescent="0.2">
      <c r="A128" s="588">
        <v>2</v>
      </c>
      <c r="B128" s="659" t="s">
        <v>859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860</v>
      </c>
      <c r="C129" s="657">
        <f>C127+C128</f>
        <v>552238244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861</v>
      </c>
      <c r="C131" s="589">
        <v>552238245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856</v>
      </c>
      <c r="C133" s="657">
        <f>C129-C131</f>
        <v>-1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862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863</v>
      </c>
      <c r="C137" s="589">
        <f>C105</f>
        <v>5657685</v>
      </c>
      <c r="D137" s="664"/>
      <c r="AR137" s="485"/>
    </row>
    <row r="138" spans="1:44" s="421" customFormat="1" ht="12.75" x14ac:dyDescent="0.2">
      <c r="A138" s="588">
        <v>2</v>
      </c>
      <c r="B138" s="669" t="s">
        <v>879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865</v>
      </c>
      <c r="C139" s="657">
        <f>C137+C138</f>
        <v>5657685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880</v>
      </c>
      <c r="C141" s="589">
        <v>5657685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867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25" right="0.25" top="0.75" bottom="0.75" header="0.3" footer="0.3"/>
  <pageSetup scale="79" fitToHeight="0" orientation="portrait" r:id="rId1"/>
  <headerFooter>
    <oddHeader>&amp;LOFFICE OF HEALTH CARE ACCESS&amp;CTWELVE MONTHS ACTUAL FILING&amp;RGRIFFIN HOSPITAL</oddHeader>
    <oddFooter>&amp;LREPORT 600&amp;CPAGE &amp;P of &amp;N&amp;R&amp;D,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628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881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631</v>
      </c>
      <c r="D8" s="177" t="s">
        <v>631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882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883</v>
      </c>
      <c r="C12" s="185">
        <v>195</v>
      </c>
      <c r="D12" s="185">
        <v>170</v>
      </c>
      <c r="E12" s="185">
        <f>+D12-C12</f>
        <v>-25</v>
      </c>
      <c r="F12" s="77">
        <f>IF(C12=0,0,+E12/C12)</f>
        <v>-0.12820512820512819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884</v>
      </c>
      <c r="C13" s="185">
        <v>150</v>
      </c>
      <c r="D13" s="185">
        <v>139</v>
      </c>
      <c r="E13" s="185">
        <f>+D13-C13</f>
        <v>-11</v>
      </c>
      <c r="F13" s="77">
        <f>IF(C13=0,0,+E13/C13)</f>
        <v>-7.3333333333333334E-2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885</v>
      </c>
      <c r="C15" s="76">
        <v>3122499</v>
      </c>
      <c r="D15" s="76">
        <v>3734054</v>
      </c>
      <c r="E15" s="76">
        <f>+D15-C15</f>
        <v>611555</v>
      </c>
      <c r="F15" s="77">
        <f>IF(C15=0,0,+E15/C15)</f>
        <v>0.19585434615031103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886</v>
      </c>
      <c r="C16" s="79">
        <f>IF(C13=0,0,+C15/+C13)</f>
        <v>20816.66</v>
      </c>
      <c r="D16" s="79">
        <f>IF(D13=0,0,+D15/+D13)</f>
        <v>26863.697841726618</v>
      </c>
      <c r="E16" s="79">
        <f>+D16-C16</f>
        <v>6047.0378417266184</v>
      </c>
      <c r="F16" s="80">
        <f>IF(C16=0,0,+E16/C16)</f>
        <v>0.29049030160105505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887</v>
      </c>
      <c r="C18" s="704">
        <v>0.26795200000000002</v>
      </c>
      <c r="D18" s="704">
        <v>0.27275899999999997</v>
      </c>
      <c r="E18" s="704">
        <f>+D18-C18</f>
        <v>4.8069999999999502E-3</v>
      </c>
      <c r="F18" s="77">
        <f>IF(C18=0,0,+E18/C18)</f>
        <v>1.7939780259150707E-2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888</v>
      </c>
      <c r="C19" s="79">
        <f>+C15*C18</f>
        <v>836679.85204800009</v>
      </c>
      <c r="D19" s="79">
        <f>+D15*D18</f>
        <v>1018496.8349859999</v>
      </c>
      <c r="E19" s="79">
        <f>+D19-C19</f>
        <v>181816.98293799977</v>
      </c>
      <c r="F19" s="80">
        <f>IF(C19=0,0,+E19/C19)</f>
        <v>0.21730771034219787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889</v>
      </c>
      <c r="C20" s="79">
        <f>IF(C13=0,0,+C19/C13)</f>
        <v>5577.8656803200001</v>
      </c>
      <c r="D20" s="79">
        <f>IF(D13=0,0,+D19/D13)</f>
        <v>7327.3153596115098</v>
      </c>
      <c r="E20" s="79">
        <f>+D20-C20</f>
        <v>1749.4496792915097</v>
      </c>
      <c r="F20" s="80">
        <f>IF(C20=0,0,+E20/C20)</f>
        <v>0.31364141403834317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890</v>
      </c>
      <c r="C22" s="76">
        <v>1405124</v>
      </c>
      <c r="D22" s="76">
        <v>1306919</v>
      </c>
      <c r="E22" s="76">
        <f>+D22-C22</f>
        <v>-98205</v>
      </c>
      <c r="F22" s="77">
        <f>IF(C22=0,0,+E22/C22)</f>
        <v>-6.9890628869765228E-2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891</v>
      </c>
      <c r="C23" s="185">
        <v>999200</v>
      </c>
      <c r="D23" s="185">
        <v>1045535</v>
      </c>
      <c r="E23" s="185">
        <f>+D23-C23</f>
        <v>46335</v>
      </c>
      <c r="F23" s="77">
        <f>IF(C23=0,0,+E23/C23)</f>
        <v>4.6372097678142515E-2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892</v>
      </c>
      <c r="C24" s="185">
        <v>718175</v>
      </c>
      <c r="D24" s="185">
        <v>1381600</v>
      </c>
      <c r="E24" s="185">
        <f>+D24-C24</f>
        <v>663425</v>
      </c>
      <c r="F24" s="77">
        <f>IF(C24=0,0,+E24/C24)</f>
        <v>0.92376509903575033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893</v>
      </c>
      <c r="C25" s="79">
        <f>+C22+C23+C24</f>
        <v>3122499</v>
      </c>
      <c r="D25" s="79">
        <f>+D22+D23+D24</f>
        <v>3734054</v>
      </c>
      <c r="E25" s="79">
        <f>+E22+E23+E24</f>
        <v>611555</v>
      </c>
      <c r="F25" s="80">
        <f>IF(C25=0,0,+E25/C25)</f>
        <v>0.19585434615031103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894</v>
      </c>
      <c r="C27" s="185">
        <v>10048</v>
      </c>
      <c r="D27" s="185">
        <v>6847</v>
      </c>
      <c r="E27" s="185">
        <f>+D27-C27</f>
        <v>-3201</v>
      </c>
      <c r="F27" s="77">
        <f>IF(C27=0,0,+E27/C27)</f>
        <v>-0.31857085987261147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895</v>
      </c>
      <c r="C28" s="185">
        <v>439</v>
      </c>
      <c r="D28" s="185">
        <v>558</v>
      </c>
      <c r="E28" s="185">
        <f>+D28-C28</f>
        <v>119</v>
      </c>
      <c r="F28" s="77">
        <f>IF(C28=0,0,+E28/C28)</f>
        <v>0.27107061503416857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896</v>
      </c>
      <c r="C29" s="185">
        <v>6893</v>
      </c>
      <c r="D29" s="185">
        <v>3212</v>
      </c>
      <c r="E29" s="185">
        <f>+D29-C29</f>
        <v>-3681</v>
      </c>
      <c r="F29" s="77">
        <f>IF(C29=0,0,+E29/C29)</f>
        <v>-0.53402002031045992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897</v>
      </c>
      <c r="C30" s="185">
        <v>2716</v>
      </c>
      <c r="D30" s="185">
        <v>3077</v>
      </c>
      <c r="E30" s="185">
        <f>+D30-C30</f>
        <v>361</v>
      </c>
      <c r="F30" s="77">
        <f>IF(C30=0,0,+E30/C30)</f>
        <v>0.1329160530191458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898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899</v>
      </c>
      <c r="C33" s="76">
        <v>535232</v>
      </c>
      <c r="D33" s="76">
        <v>596326</v>
      </c>
      <c r="E33" s="76">
        <f>+D33-C33</f>
        <v>61094</v>
      </c>
      <c r="F33" s="77">
        <f>IF(C33=0,0,+E33/C33)</f>
        <v>0.11414489417673084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900</v>
      </c>
      <c r="C34" s="185">
        <v>481709</v>
      </c>
      <c r="D34" s="185">
        <v>577089</v>
      </c>
      <c r="E34" s="185">
        <f>+D34-C34</f>
        <v>95380</v>
      </c>
      <c r="F34" s="77">
        <f>IF(C34=0,0,+E34/C34)</f>
        <v>0.19800335887434115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901</v>
      </c>
      <c r="C35" s="185">
        <v>767165</v>
      </c>
      <c r="D35" s="185">
        <v>750216</v>
      </c>
      <c r="E35" s="185">
        <f>+D35-C35</f>
        <v>-16949</v>
      </c>
      <c r="F35" s="77">
        <f>IF(C35=0,0,+E35/C35)</f>
        <v>-2.2093030834305527E-2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902</v>
      </c>
      <c r="C36" s="79">
        <f>+C33+C34+C35</f>
        <v>1784106</v>
      </c>
      <c r="D36" s="79">
        <f>+D33+D34+D35</f>
        <v>1923631</v>
      </c>
      <c r="E36" s="79">
        <f>+E33+E34+E35</f>
        <v>139525</v>
      </c>
      <c r="F36" s="80">
        <f>IF(C36=0,0,+E36/C36)</f>
        <v>7.8204434041475118E-2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903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904</v>
      </c>
      <c r="C39" s="76">
        <f>+C25</f>
        <v>3122499</v>
      </c>
      <c r="D39" s="76">
        <f>+D25</f>
        <v>3734054</v>
      </c>
      <c r="E39" s="76">
        <f>+D39-C39</f>
        <v>611555</v>
      </c>
      <c r="F39" s="77">
        <f>IF(C39=0,0,+E39/C39)</f>
        <v>0.19585434615031103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905</v>
      </c>
      <c r="C40" s="185">
        <f>+C36</f>
        <v>1784106</v>
      </c>
      <c r="D40" s="185">
        <f>+D36</f>
        <v>1923631</v>
      </c>
      <c r="E40" s="185">
        <f>+D40-C40</f>
        <v>139525</v>
      </c>
      <c r="F40" s="77">
        <f>IF(C40=0,0,+E40/C40)</f>
        <v>7.8204434041475118E-2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906</v>
      </c>
      <c r="C41" s="79">
        <f>+C39+C40</f>
        <v>4906605</v>
      </c>
      <c r="D41" s="79">
        <f>+D39+D40</f>
        <v>5657685</v>
      </c>
      <c r="E41" s="79">
        <f>+E39+E40</f>
        <v>751080</v>
      </c>
      <c r="F41" s="80">
        <f>IF(C41=0,0,+E41/C41)</f>
        <v>0.15307529340552173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907</v>
      </c>
      <c r="C43" s="76">
        <f t="shared" ref="C43:D45" si="0">+C22+C33</f>
        <v>1940356</v>
      </c>
      <c r="D43" s="76">
        <f t="shared" si="0"/>
        <v>1903245</v>
      </c>
      <c r="E43" s="76">
        <f>+D43-C43</f>
        <v>-37111</v>
      </c>
      <c r="F43" s="77">
        <f>IF(C43=0,0,+E43/C43)</f>
        <v>-1.9125871747246382E-2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908</v>
      </c>
      <c r="C44" s="185">
        <f t="shared" si="0"/>
        <v>1480909</v>
      </c>
      <c r="D44" s="185">
        <f t="shared" si="0"/>
        <v>1622624</v>
      </c>
      <c r="E44" s="185">
        <f>+D44-C44</f>
        <v>141715</v>
      </c>
      <c r="F44" s="77">
        <f>IF(C44=0,0,+E44/C44)</f>
        <v>9.569460378726849E-2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909</v>
      </c>
      <c r="C45" s="185">
        <f t="shared" si="0"/>
        <v>1485340</v>
      </c>
      <c r="D45" s="185">
        <f t="shared" si="0"/>
        <v>2131816</v>
      </c>
      <c r="E45" s="185">
        <f>+D45-C45</f>
        <v>646476</v>
      </c>
      <c r="F45" s="77">
        <f>IF(C45=0,0,+E45/C45)</f>
        <v>0.43523772334953614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906</v>
      </c>
      <c r="C46" s="79">
        <f>+C43+C44+C45</f>
        <v>4906605</v>
      </c>
      <c r="D46" s="79">
        <f>+D43+D44+D45</f>
        <v>5657685</v>
      </c>
      <c r="E46" s="79">
        <f>+E43+E44+E45</f>
        <v>751080</v>
      </c>
      <c r="F46" s="80">
        <f>IF(C46=0,0,+E46/C46)</f>
        <v>0.15307529340552173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910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75" bottom="0.75" header="0.3" footer="0.3"/>
  <pageSetup scale="75" fitToHeight="0" orientation="portrait" r:id="rId1"/>
  <headerFooter>
    <oddHeader>_x000D_
                  &amp;LOFFICE OF HEALTH CARE ACCESS&amp;CTWELVE MONTHS ACTUAL FILING&amp;RGRIFFIN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628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911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912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913</v>
      </c>
      <c r="D10" s="177" t="s">
        <v>913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914</v>
      </c>
      <c r="D11" s="693" t="s">
        <v>914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915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174747361</v>
      </c>
      <c r="D15" s="76">
        <v>192436964</v>
      </c>
      <c r="E15" s="76">
        <f>+D15-C15</f>
        <v>17689603</v>
      </c>
      <c r="F15" s="77">
        <f>IF(C15=0,0,E15/C15)</f>
        <v>0.10122958595065708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916</v>
      </c>
      <c r="C17" s="76">
        <v>104185303</v>
      </c>
      <c r="D17" s="76">
        <v>113711172</v>
      </c>
      <c r="E17" s="76">
        <f>+D17-C17</f>
        <v>9525869</v>
      </c>
      <c r="F17" s="77">
        <f>IF(C17=0,0,E17/C17)</f>
        <v>9.1431984413386985E-2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917</v>
      </c>
      <c r="C19" s="79">
        <f>+C15-C17</f>
        <v>70562058</v>
      </c>
      <c r="D19" s="79">
        <f>+D15-D17</f>
        <v>78725792</v>
      </c>
      <c r="E19" s="79">
        <f>+D19-C19</f>
        <v>8163734</v>
      </c>
      <c r="F19" s="80">
        <f>IF(C19=0,0,E19/C19)</f>
        <v>0.11569580354359846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918</v>
      </c>
      <c r="C21" s="720">
        <f>IF(C15=0,0,C17/C15)</f>
        <v>0.59620530120623683</v>
      </c>
      <c r="D21" s="720">
        <f>IF(D15=0,0,D17/D15)</f>
        <v>0.59090088326273948</v>
      </c>
      <c r="E21" s="720">
        <f>+D21-C21</f>
        <v>-5.3044179434973415E-3</v>
      </c>
      <c r="F21" s="80">
        <f>IF(C21=0,0,E21/C21)</f>
        <v>-8.8969654123596253E-3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919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75" bottom="0.75" header="0.3" footer="0.3"/>
  <pageSetup scale="89" fitToHeight="0" orientation="landscape" r:id="rId1"/>
  <headerFooter>
    <oddHeader>&amp;L&amp;12OFFICE OF HEALTH CARE ACCESS&amp;C&amp;12TWELVE MONTHS ACTUAL FILING&amp;R&amp;12GRIFFIN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920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921</v>
      </c>
      <c r="B6" s="734" t="s">
        <v>922</v>
      </c>
      <c r="C6" s="734" t="s">
        <v>923</v>
      </c>
      <c r="D6" s="734" t="s">
        <v>924</v>
      </c>
      <c r="E6" s="734" t="s">
        <v>925</v>
      </c>
    </row>
    <row r="7" spans="1:6" ht="37.5" customHeight="1" x14ac:dyDescent="0.25">
      <c r="A7" s="735" t="s">
        <v>8</v>
      </c>
      <c r="B7" s="736" t="s">
        <v>9</v>
      </c>
      <c r="C7" s="737" t="s">
        <v>926</v>
      </c>
      <c r="D7" s="737" t="s">
        <v>927</v>
      </c>
      <c r="E7" s="737" t="s">
        <v>928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929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930</v>
      </c>
      <c r="C10" s="744">
        <v>205456234</v>
      </c>
      <c r="D10" s="744">
        <v>212414605</v>
      </c>
      <c r="E10" s="744">
        <v>237873801</v>
      </c>
    </row>
    <row r="11" spans="1:6" ht="26.1" customHeight="1" x14ac:dyDescent="0.25">
      <c r="A11" s="742">
        <v>2</v>
      </c>
      <c r="B11" s="743" t="s">
        <v>931</v>
      </c>
      <c r="C11" s="744">
        <v>277462740</v>
      </c>
      <c r="D11" s="744">
        <v>299395028</v>
      </c>
      <c r="E11" s="744">
        <v>314364443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482918974</v>
      </c>
      <c r="D12" s="744">
        <f>+D11+D10</f>
        <v>511809633</v>
      </c>
      <c r="E12" s="744">
        <f>+E11+E10</f>
        <v>552238244</v>
      </c>
    </row>
    <row r="13" spans="1:6" ht="26.1" customHeight="1" x14ac:dyDescent="0.25">
      <c r="A13" s="742">
        <v>4</v>
      </c>
      <c r="B13" s="743" t="s">
        <v>507</v>
      </c>
      <c r="C13" s="744">
        <v>135897993</v>
      </c>
      <c r="D13" s="744">
        <v>142949359</v>
      </c>
      <c r="E13" s="744">
        <v>159014625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932</v>
      </c>
      <c r="C16" s="744">
        <v>130275487</v>
      </c>
      <c r="D16" s="744">
        <v>141153441</v>
      </c>
      <c r="E16" s="744">
        <v>150278225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933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30806</v>
      </c>
      <c r="D19" s="747">
        <v>30594</v>
      </c>
      <c r="E19" s="747">
        <v>31732</v>
      </c>
    </row>
    <row r="20" spans="1:5" ht="26.1" customHeight="1" x14ac:dyDescent="0.25">
      <c r="A20" s="742">
        <v>2</v>
      </c>
      <c r="B20" s="743" t="s">
        <v>381</v>
      </c>
      <c r="C20" s="748">
        <v>6935</v>
      </c>
      <c r="D20" s="748">
        <v>6950</v>
      </c>
      <c r="E20" s="748">
        <v>7597</v>
      </c>
    </row>
    <row r="21" spans="1:5" ht="26.1" customHeight="1" x14ac:dyDescent="0.25">
      <c r="A21" s="742">
        <v>3</v>
      </c>
      <c r="B21" s="743" t="s">
        <v>934</v>
      </c>
      <c r="C21" s="749">
        <f>IF(C20=0,0,+C19/C20)</f>
        <v>4.4421052631578943</v>
      </c>
      <c r="D21" s="749">
        <f>IF(D20=0,0,+D19/D20)</f>
        <v>4.4020143884892082</v>
      </c>
      <c r="E21" s="749">
        <f>IF(E20=0,0,+E19/E20)</f>
        <v>4.1769119389232587</v>
      </c>
    </row>
    <row r="22" spans="1:5" ht="26.1" customHeight="1" x14ac:dyDescent="0.25">
      <c r="A22" s="742">
        <v>4</v>
      </c>
      <c r="B22" s="743" t="s">
        <v>935</v>
      </c>
      <c r="C22" s="748">
        <f>IF(C10=0,0,C19*(C12/C10))</f>
        <v>72408.617754786639</v>
      </c>
      <c r="D22" s="748">
        <f>IF(D10=0,0,D19*(D12/D10))</f>
        <v>73715.759384821955</v>
      </c>
      <c r="E22" s="748">
        <f>IF(E10=0,0,E19*(E12/E10))</f>
        <v>73667.734256316849</v>
      </c>
    </row>
    <row r="23" spans="1:5" ht="26.1" customHeight="1" x14ac:dyDescent="0.25">
      <c r="A23" s="742">
        <v>0</v>
      </c>
      <c r="B23" s="743" t="s">
        <v>936</v>
      </c>
      <c r="C23" s="748">
        <f>IF(C10=0,0,C20*(C12/C10))</f>
        <v>16300.518214940121</v>
      </c>
      <c r="D23" s="748">
        <f>IF(D10=0,0,D20*(D12/D10))</f>
        <v>16745.915137756183</v>
      </c>
      <c r="E23" s="748">
        <f>IF(E10=0,0,E20*(E12/E10))</f>
        <v>17636.889485227504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937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1.1321927007930788</v>
      </c>
      <c r="D26" s="750">
        <v>1.1359687035971224</v>
      </c>
      <c r="E26" s="750">
        <v>1.2021232065288929</v>
      </c>
    </row>
    <row r="27" spans="1:5" ht="26.1" customHeight="1" x14ac:dyDescent="0.25">
      <c r="A27" s="742">
        <v>2</v>
      </c>
      <c r="B27" s="743" t="s">
        <v>938</v>
      </c>
      <c r="C27" s="748">
        <f>C19*C26</f>
        <v>34878.328340631582</v>
      </c>
      <c r="D27" s="748">
        <f>D19*D26</f>
        <v>34753.826517850364</v>
      </c>
      <c r="E27" s="748">
        <f>E19*E26</f>
        <v>38145.773589574834</v>
      </c>
    </row>
    <row r="28" spans="1:5" ht="26.1" customHeight="1" x14ac:dyDescent="0.25">
      <c r="A28" s="742">
        <v>3</v>
      </c>
      <c r="B28" s="743" t="s">
        <v>939</v>
      </c>
      <c r="C28" s="748">
        <f>C20*C26</f>
        <v>7851.7563800000016</v>
      </c>
      <c r="D28" s="748">
        <f>D20*D26</f>
        <v>7894.9824900000012</v>
      </c>
      <c r="E28" s="748">
        <f>E20*E26</f>
        <v>9132.5299999999988</v>
      </c>
    </row>
    <row r="29" spans="1:5" ht="26.1" customHeight="1" x14ac:dyDescent="0.25">
      <c r="A29" s="742">
        <v>4</v>
      </c>
      <c r="B29" s="743" t="s">
        <v>940</v>
      </c>
      <c r="C29" s="748">
        <f>C22*C26</f>
        <v>81980.508496485563</v>
      </c>
      <c r="D29" s="748">
        <f>D22*D26</f>
        <v>83738.795623053607</v>
      </c>
      <c r="E29" s="748">
        <f>E22*E26</f>
        <v>88557.692921921975</v>
      </c>
    </row>
    <row r="30" spans="1:5" ht="26.1" customHeight="1" x14ac:dyDescent="0.25">
      <c r="A30" s="742">
        <v>5</v>
      </c>
      <c r="B30" s="743" t="s">
        <v>941</v>
      </c>
      <c r="C30" s="748">
        <f>C23*C26</f>
        <v>18455.327742099831</v>
      </c>
      <c r="D30" s="748">
        <f>D23*D26</f>
        <v>19022.835509584318</v>
      </c>
      <c r="E30" s="748">
        <f>E23*E26</f>
        <v>21201.714141177403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942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943</v>
      </c>
      <c r="C33" s="744">
        <f>IF(C19=0,0,C12/C19)</f>
        <v>15676.133675258066</v>
      </c>
      <c r="D33" s="744">
        <f>IF(D19=0,0,D12/D19)</f>
        <v>16729.08521278682</v>
      </c>
      <c r="E33" s="744">
        <f>IF(E19=0,0,E12/E19)</f>
        <v>17403.196899029372</v>
      </c>
    </row>
    <row r="34" spans="1:5" ht="26.1" customHeight="1" x14ac:dyDescent="0.25">
      <c r="A34" s="742">
        <v>2</v>
      </c>
      <c r="B34" s="743" t="s">
        <v>944</v>
      </c>
      <c r="C34" s="744">
        <f>IF(C20=0,0,C12/C20)</f>
        <v>69635.035904830569</v>
      </c>
      <c r="D34" s="744">
        <f>IF(D20=0,0,D12/D20)</f>
        <v>73641.673812949637</v>
      </c>
      <c r="E34" s="744">
        <f>IF(E20=0,0,E12/E20)</f>
        <v>72691.620902988027</v>
      </c>
    </row>
    <row r="35" spans="1:5" ht="26.1" customHeight="1" x14ac:dyDescent="0.25">
      <c r="A35" s="742">
        <v>3</v>
      </c>
      <c r="B35" s="743" t="s">
        <v>945</v>
      </c>
      <c r="C35" s="744">
        <f>IF(C22=0,0,C12/C22)</f>
        <v>6669.3577225215877</v>
      </c>
      <c r="D35" s="744">
        <f>IF(D22=0,0,D12/D22)</f>
        <v>6943.0151336863446</v>
      </c>
      <c r="E35" s="744">
        <f>IF(E22=0,0,E12/E22)</f>
        <v>7496.3381129459231</v>
      </c>
    </row>
    <row r="36" spans="1:5" ht="26.1" customHeight="1" x14ac:dyDescent="0.25">
      <c r="A36" s="742">
        <v>4</v>
      </c>
      <c r="B36" s="743" t="s">
        <v>946</v>
      </c>
      <c r="C36" s="744">
        <f>IF(C23=0,0,C12/C23)</f>
        <v>29625.989041095894</v>
      </c>
      <c r="D36" s="744">
        <f>IF(D23=0,0,D12/D23)</f>
        <v>30563.252517985609</v>
      </c>
      <c r="E36" s="744">
        <f>IF(E23=0,0,E12/E23)</f>
        <v>31311.544162169277</v>
      </c>
    </row>
    <row r="37" spans="1:5" ht="26.1" customHeight="1" x14ac:dyDescent="0.25">
      <c r="A37" s="742">
        <v>5</v>
      </c>
      <c r="B37" s="743" t="s">
        <v>947</v>
      </c>
      <c r="C37" s="744">
        <f>IF(C29=0,0,C12/C29)</f>
        <v>5890.6559968544516</v>
      </c>
      <c r="D37" s="744">
        <f>IF(D29=0,0,D12/D29)</f>
        <v>6111.9774793978149</v>
      </c>
      <c r="E37" s="744">
        <f>IF(E29=0,0,E12/E29)</f>
        <v>6235.9149812866954</v>
      </c>
    </row>
    <row r="38" spans="1:5" ht="26.1" customHeight="1" x14ac:dyDescent="0.25">
      <c r="A38" s="742">
        <v>6</v>
      </c>
      <c r="B38" s="743" t="s">
        <v>948</v>
      </c>
      <c r="C38" s="744">
        <f>IF(C30=0,0,C12/C30)</f>
        <v>26166.914007079773</v>
      </c>
      <c r="D38" s="744">
        <f>IF(D30=0,0,D12/D30)</f>
        <v>26905.012806431187</v>
      </c>
      <c r="E38" s="744">
        <f>IF(E30=0,0,E12/E30)</f>
        <v>26046.867735446805</v>
      </c>
    </row>
    <row r="39" spans="1:5" ht="26.1" customHeight="1" x14ac:dyDescent="0.25">
      <c r="A39" s="742">
        <v>7</v>
      </c>
      <c r="B39" s="743" t="s">
        <v>949</v>
      </c>
      <c r="C39" s="744">
        <f>IF(C22=0,0,C10/C22)</f>
        <v>2837.4555456338362</v>
      </c>
      <c r="D39" s="744">
        <f>IF(D22=0,0,D10/D22)</f>
        <v>2881.5358720124109</v>
      </c>
      <c r="E39" s="744">
        <f>IF(E22=0,0,E10/E22)</f>
        <v>3229.0093268289006</v>
      </c>
    </row>
    <row r="40" spans="1:5" ht="26.1" customHeight="1" x14ac:dyDescent="0.25">
      <c r="A40" s="742">
        <v>8</v>
      </c>
      <c r="B40" s="743" t="s">
        <v>950</v>
      </c>
      <c r="C40" s="744">
        <f>IF(C23=0,0,C10/C23)</f>
        <v>12604.276213236619</v>
      </c>
      <c r="D40" s="744">
        <f>IF(D23=0,0,D10/D23)</f>
        <v>12684.562369546429</v>
      </c>
      <c r="E40" s="744">
        <f>IF(E23=0,0,E10/E23)</f>
        <v>13487.287608126189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951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952</v>
      </c>
      <c r="C43" s="744">
        <f>IF(C19=0,0,C13/C19)</f>
        <v>4411.4131338051029</v>
      </c>
      <c r="D43" s="744">
        <f>IF(D19=0,0,D13/D19)</f>
        <v>4672.4638491207425</v>
      </c>
      <c r="E43" s="744">
        <f>IF(E19=0,0,E13/E19)</f>
        <v>5011.1756271271906</v>
      </c>
    </row>
    <row r="44" spans="1:5" ht="26.1" customHeight="1" x14ac:dyDescent="0.25">
      <c r="A44" s="742">
        <v>2</v>
      </c>
      <c r="B44" s="743" t="s">
        <v>953</v>
      </c>
      <c r="C44" s="744">
        <f>IF(C20=0,0,C13/C20)</f>
        <v>19595.96149963951</v>
      </c>
      <c r="D44" s="744">
        <f>IF(D20=0,0,D13/D20)</f>
        <v>20568.253093525182</v>
      </c>
      <c r="E44" s="744">
        <f>IF(E20=0,0,E13/E20)</f>
        <v>20931.239304988812</v>
      </c>
    </row>
    <row r="45" spans="1:5" ht="26.1" customHeight="1" x14ac:dyDescent="0.25">
      <c r="A45" s="742">
        <v>3</v>
      </c>
      <c r="B45" s="743" t="s">
        <v>954</v>
      </c>
      <c r="C45" s="744">
        <f>IF(C22=0,0,C13/C22)</f>
        <v>1876.8207046876867</v>
      </c>
      <c r="D45" s="744">
        <f>IF(D22=0,0,D13/D22)</f>
        <v>1939.1967225590736</v>
      </c>
      <c r="E45" s="744">
        <f>IF(E22=0,0,E13/E22)</f>
        <v>2158.5382882379722</v>
      </c>
    </row>
    <row r="46" spans="1:5" ht="26.1" customHeight="1" x14ac:dyDescent="0.25">
      <c r="A46" s="742">
        <v>4</v>
      </c>
      <c r="B46" s="743" t="s">
        <v>955</v>
      </c>
      <c r="C46" s="744">
        <f>IF(C23=0,0,C13/C23)</f>
        <v>8337.0351302968811</v>
      </c>
      <c r="D46" s="744">
        <f>IF(D23=0,0,D13/D23)</f>
        <v>8536.3718748161555</v>
      </c>
      <c r="E46" s="744">
        <f>IF(E23=0,0,E13/E23)</f>
        <v>9016.0243467641612</v>
      </c>
    </row>
    <row r="47" spans="1:5" ht="26.1" customHeight="1" x14ac:dyDescent="0.25">
      <c r="A47" s="742">
        <v>5</v>
      </c>
      <c r="B47" s="743" t="s">
        <v>956</v>
      </c>
      <c r="C47" s="744">
        <f>IF(C29=0,0,C13/C29)</f>
        <v>1657.6866317659621</v>
      </c>
      <c r="D47" s="744">
        <f>IF(D29=0,0,D13/D29)</f>
        <v>1707.0863980833933</v>
      </c>
      <c r="E47" s="744">
        <f>IF(E29=0,0,E13/E29)</f>
        <v>1795.6048735393015</v>
      </c>
    </row>
    <row r="48" spans="1:5" ht="26.1" customHeight="1" x14ac:dyDescent="0.25">
      <c r="A48" s="742">
        <v>6</v>
      </c>
      <c r="B48" s="743" t="s">
        <v>957</v>
      </c>
      <c r="C48" s="744">
        <f>IF(C30=0,0,C13/C30)</f>
        <v>7363.6185116340639</v>
      </c>
      <c r="D48" s="744">
        <f>IF(D30=0,0,D13/D30)</f>
        <v>7514.6188867573137</v>
      </c>
      <c r="E48" s="744">
        <f>IF(E30=0,0,E13/E30)</f>
        <v>7500.0834338750965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958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959</v>
      </c>
      <c r="C51" s="744">
        <f>IF(C19=0,0,C16/C19)</f>
        <v>4228.8997922482631</v>
      </c>
      <c r="D51" s="744">
        <f>IF(D19=0,0,D16/D19)</f>
        <v>4613.7622082761327</v>
      </c>
      <c r="E51" s="744">
        <f>IF(E19=0,0,E16/E19)</f>
        <v>4735.8573364427075</v>
      </c>
    </row>
    <row r="52" spans="1:6" ht="26.1" customHeight="1" x14ac:dyDescent="0.25">
      <c r="A52" s="742">
        <v>2</v>
      </c>
      <c r="B52" s="743" t="s">
        <v>960</v>
      </c>
      <c r="C52" s="744">
        <f>IF(C20=0,0,C16/C20)</f>
        <v>18785.218024513339</v>
      </c>
      <c r="D52" s="744">
        <f>IF(D20=0,0,D16/D20)</f>
        <v>20309.847625899281</v>
      </c>
      <c r="E52" s="744">
        <f>IF(E20=0,0,E16/E20)</f>
        <v>19781.259049624852</v>
      </c>
    </row>
    <row r="53" spans="1:6" ht="26.1" customHeight="1" x14ac:dyDescent="0.25">
      <c r="A53" s="742">
        <v>3</v>
      </c>
      <c r="B53" s="743" t="s">
        <v>961</v>
      </c>
      <c r="C53" s="744">
        <f>IF(C22=0,0,C16/C22)</f>
        <v>1799.1710246587054</v>
      </c>
      <c r="D53" s="744">
        <f>IF(D22=0,0,D16/D22)</f>
        <v>1914.8339809284178</v>
      </c>
      <c r="E53" s="744">
        <f>IF(E22=0,0,E16/E22)</f>
        <v>2039.9463417339182</v>
      </c>
    </row>
    <row r="54" spans="1:6" ht="26.1" customHeight="1" x14ac:dyDescent="0.25">
      <c r="A54" s="742">
        <v>4</v>
      </c>
      <c r="B54" s="743" t="s">
        <v>962</v>
      </c>
      <c r="C54" s="744">
        <f>IF(C23=0,0,C16/C23)</f>
        <v>7992.1070779576166</v>
      </c>
      <c r="D54" s="744">
        <f>IF(D23=0,0,D16/D23)</f>
        <v>8429.1267356149656</v>
      </c>
      <c r="E54" s="744">
        <f>IF(E23=0,0,E16/E23)</f>
        <v>8520.676229551229</v>
      </c>
    </row>
    <row r="55" spans="1:6" ht="26.1" customHeight="1" x14ac:dyDescent="0.25">
      <c r="A55" s="742">
        <v>5</v>
      </c>
      <c r="B55" s="743" t="s">
        <v>963</v>
      </c>
      <c r="C55" s="744">
        <f>IF(C29=0,0,C16/C29)</f>
        <v>1589.1031830521617</v>
      </c>
      <c r="D55" s="744">
        <f>IF(D29=0,0,D16/D29)</f>
        <v>1685.6397318561376</v>
      </c>
      <c r="E55" s="744">
        <f>IF(E29=0,0,E16/E29)</f>
        <v>1696.9528003907546</v>
      </c>
    </row>
    <row r="56" spans="1:6" ht="26.1" customHeight="1" x14ac:dyDescent="0.25">
      <c r="A56" s="742">
        <v>6</v>
      </c>
      <c r="B56" s="743" t="s">
        <v>964</v>
      </c>
      <c r="C56" s="744">
        <f>IF(C30=0,0,C16/C30)</f>
        <v>7058.9636131369707</v>
      </c>
      <c r="D56" s="744">
        <f>IF(D30=0,0,D16/D30)</f>
        <v>7420.2103534398093</v>
      </c>
      <c r="E56" s="744">
        <f>IF(E30=0,0,E16/E30)</f>
        <v>7088.0224117414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965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966</v>
      </c>
      <c r="C59" s="752">
        <v>20849734</v>
      </c>
      <c r="D59" s="752">
        <v>21477461</v>
      </c>
      <c r="E59" s="752">
        <v>22179490</v>
      </c>
    </row>
    <row r="60" spans="1:6" ht="26.1" customHeight="1" x14ac:dyDescent="0.25">
      <c r="A60" s="742">
        <v>2</v>
      </c>
      <c r="B60" s="743" t="s">
        <v>967</v>
      </c>
      <c r="C60" s="752">
        <v>6274634</v>
      </c>
      <c r="D60" s="752">
        <v>7125501</v>
      </c>
      <c r="E60" s="752">
        <v>6599341</v>
      </c>
    </row>
    <row r="61" spans="1:6" ht="26.1" customHeight="1" x14ac:dyDescent="0.25">
      <c r="A61" s="753">
        <v>3</v>
      </c>
      <c r="B61" s="754" t="s">
        <v>968</v>
      </c>
      <c r="C61" s="755">
        <f>C59+C60</f>
        <v>27124368</v>
      </c>
      <c r="D61" s="755">
        <f>D59+D60</f>
        <v>28602962</v>
      </c>
      <c r="E61" s="755">
        <f>E59+E60</f>
        <v>28778831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969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970</v>
      </c>
      <c r="C64" s="744">
        <v>3821225</v>
      </c>
      <c r="D64" s="744">
        <v>3595537</v>
      </c>
      <c r="E64" s="752">
        <v>3815671</v>
      </c>
      <c r="F64" s="756"/>
    </row>
    <row r="65" spans="1:6" ht="26.1" customHeight="1" x14ac:dyDescent="0.25">
      <c r="A65" s="742">
        <v>2</v>
      </c>
      <c r="B65" s="743" t="s">
        <v>971</v>
      </c>
      <c r="C65" s="752">
        <v>1149980</v>
      </c>
      <c r="D65" s="752">
        <v>1192878</v>
      </c>
      <c r="E65" s="752">
        <v>1135332</v>
      </c>
      <c r="F65" s="756"/>
    </row>
    <row r="66" spans="1:6" ht="26.1" customHeight="1" x14ac:dyDescent="0.25">
      <c r="A66" s="753">
        <v>3</v>
      </c>
      <c r="B66" s="754" t="s">
        <v>972</v>
      </c>
      <c r="C66" s="757">
        <f>C64+C65</f>
        <v>4971205</v>
      </c>
      <c r="D66" s="757">
        <f>D64+D65</f>
        <v>4788415</v>
      </c>
      <c r="E66" s="757">
        <f>E64+E65</f>
        <v>4951003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973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974</v>
      </c>
      <c r="C69" s="752">
        <v>31025618</v>
      </c>
      <c r="D69" s="752">
        <v>32916206</v>
      </c>
      <c r="E69" s="752">
        <v>36121763</v>
      </c>
    </row>
    <row r="70" spans="1:6" ht="26.1" customHeight="1" x14ac:dyDescent="0.25">
      <c r="A70" s="742">
        <v>2</v>
      </c>
      <c r="B70" s="743" t="s">
        <v>975</v>
      </c>
      <c r="C70" s="752">
        <v>9337021</v>
      </c>
      <c r="D70" s="752">
        <v>10920486</v>
      </c>
      <c r="E70" s="752">
        <v>10747758</v>
      </c>
    </row>
    <row r="71" spans="1:6" ht="26.1" customHeight="1" x14ac:dyDescent="0.25">
      <c r="A71" s="753">
        <v>3</v>
      </c>
      <c r="B71" s="754" t="s">
        <v>976</v>
      </c>
      <c r="C71" s="755">
        <f>C69+C70</f>
        <v>40362639</v>
      </c>
      <c r="D71" s="755">
        <f>D69+D70</f>
        <v>43836692</v>
      </c>
      <c r="E71" s="755">
        <f>E69+E70</f>
        <v>46869521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977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978</v>
      </c>
      <c r="C75" s="744">
        <f t="shared" ref="C75:E76" si="0">+C59+C64+C69</f>
        <v>55696577</v>
      </c>
      <c r="D75" s="744">
        <f t="shared" si="0"/>
        <v>57989204</v>
      </c>
      <c r="E75" s="744">
        <f t="shared" si="0"/>
        <v>62116924</v>
      </c>
    </row>
    <row r="76" spans="1:6" ht="26.1" customHeight="1" x14ac:dyDescent="0.25">
      <c r="A76" s="742">
        <v>2</v>
      </c>
      <c r="B76" s="743" t="s">
        <v>979</v>
      </c>
      <c r="C76" s="744">
        <f t="shared" si="0"/>
        <v>16761635</v>
      </c>
      <c r="D76" s="744">
        <f t="shared" si="0"/>
        <v>19238865</v>
      </c>
      <c r="E76" s="744">
        <f t="shared" si="0"/>
        <v>18482431</v>
      </c>
    </row>
    <row r="77" spans="1:6" ht="26.1" customHeight="1" x14ac:dyDescent="0.25">
      <c r="A77" s="753">
        <v>3</v>
      </c>
      <c r="B77" s="754" t="s">
        <v>977</v>
      </c>
      <c r="C77" s="757">
        <f>C75+C76</f>
        <v>72458212</v>
      </c>
      <c r="D77" s="757">
        <f>D75+D76</f>
        <v>77228069</v>
      </c>
      <c r="E77" s="757">
        <f>E75+E76</f>
        <v>80599355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980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315.7</v>
      </c>
      <c r="D80" s="749">
        <v>319.8</v>
      </c>
      <c r="E80" s="749">
        <v>332.4</v>
      </c>
    </row>
    <row r="81" spans="1:5" ht="26.1" customHeight="1" x14ac:dyDescent="0.25">
      <c r="A81" s="742">
        <v>2</v>
      </c>
      <c r="B81" s="743" t="s">
        <v>617</v>
      </c>
      <c r="C81" s="749">
        <v>49.7</v>
      </c>
      <c r="D81" s="749">
        <v>46.6</v>
      </c>
      <c r="E81" s="749">
        <v>46.6</v>
      </c>
    </row>
    <row r="82" spans="1:5" ht="26.1" customHeight="1" x14ac:dyDescent="0.25">
      <c r="A82" s="742">
        <v>3</v>
      </c>
      <c r="B82" s="743" t="s">
        <v>981</v>
      </c>
      <c r="C82" s="749">
        <v>558.79999999999995</v>
      </c>
      <c r="D82" s="749">
        <v>602.1</v>
      </c>
      <c r="E82" s="749">
        <v>604</v>
      </c>
    </row>
    <row r="83" spans="1:5" ht="26.1" customHeight="1" x14ac:dyDescent="0.25">
      <c r="A83" s="753">
        <v>4</v>
      </c>
      <c r="B83" s="754" t="s">
        <v>980</v>
      </c>
      <c r="C83" s="759">
        <f>C80+C81+C82</f>
        <v>924.19999999999993</v>
      </c>
      <c r="D83" s="759">
        <f>D80+D81+D82</f>
        <v>968.5</v>
      </c>
      <c r="E83" s="759">
        <f>E80+E81+E82</f>
        <v>983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982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983</v>
      </c>
      <c r="C86" s="752">
        <f>IF(C80=0,0,C59/C80)</f>
        <v>66042.869813113721</v>
      </c>
      <c r="D86" s="752">
        <f>IF(D80=0,0,D59/D80)</f>
        <v>67159.040025015638</v>
      </c>
      <c r="E86" s="752">
        <f>IF(E80=0,0,E59/E80)</f>
        <v>66725.300842358614</v>
      </c>
    </row>
    <row r="87" spans="1:5" ht="26.1" customHeight="1" x14ac:dyDescent="0.25">
      <c r="A87" s="742">
        <v>2</v>
      </c>
      <c r="B87" s="743" t="s">
        <v>984</v>
      </c>
      <c r="C87" s="752">
        <f>IF(C80=0,0,C60/C80)</f>
        <v>19875.305669939818</v>
      </c>
      <c r="D87" s="752">
        <f>IF(D80=0,0,D60/D80)</f>
        <v>22281.116322701688</v>
      </c>
      <c r="E87" s="752">
        <f>IF(E80=0,0,E60/E80)</f>
        <v>19853.613116726836</v>
      </c>
    </row>
    <row r="88" spans="1:5" ht="26.1" customHeight="1" x14ac:dyDescent="0.25">
      <c r="A88" s="753">
        <v>3</v>
      </c>
      <c r="B88" s="754" t="s">
        <v>985</v>
      </c>
      <c r="C88" s="755">
        <f>+C86+C87</f>
        <v>85918.175483053536</v>
      </c>
      <c r="D88" s="755">
        <f>+D86+D87</f>
        <v>89440.156347717333</v>
      </c>
      <c r="E88" s="755">
        <f>+E86+E87</f>
        <v>86578.913959085447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986</v>
      </c>
    </row>
    <row r="91" spans="1:5" ht="26.1" customHeight="1" x14ac:dyDescent="0.25">
      <c r="A91" s="742">
        <v>1</v>
      </c>
      <c r="B91" s="743" t="s">
        <v>987</v>
      </c>
      <c r="C91" s="744">
        <f>IF(C81=0,0,C64/C81)</f>
        <v>76885.814889336005</v>
      </c>
      <c r="D91" s="744">
        <f>IF(D81=0,0,D64/D81)</f>
        <v>77157.446351931329</v>
      </c>
      <c r="E91" s="744">
        <f>IF(E81=0,0,E64/E81)</f>
        <v>81881.351931330471</v>
      </c>
    </row>
    <row r="92" spans="1:5" ht="26.1" customHeight="1" x14ac:dyDescent="0.25">
      <c r="A92" s="742">
        <v>2</v>
      </c>
      <c r="B92" s="743" t="s">
        <v>988</v>
      </c>
      <c r="C92" s="744">
        <f>IF(C81=0,0,C65/C81)</f>
        <v>23138.430583501005</v>
      </c>
      <c r="D92" s="744">
        <f>IF(D81=0,0,D65/D81)</f>
        <v>25598.240343347639</v>
      </c>
      <c r="E92" s="744">
        <f>IF(E81=0,0,E65/E81)</f>
        <v>24363.347639484979</v>
      </c>
    </row>
    <row r="93" spans="1:5" ht="26.1" customHeight="1" x14ac:dyDescent="0.25">
      <c r="A93" s="753">
        <v>3</v>
      </c>
      <c r="B93" s="754" t="s">
        <v>989</v>
      </c>
      <c r="C93" s="757">
        <f>+C91+C92</f>
        <v>100024.24547283701</v>
      </c>
      <c r="D93" s="757">
        <f>+D91+D92</f>
        <v>102755.68669527897</v>
      </c>
      <c r="E93" s="757">
        <f>+E91+E92</f>
        <v>106244.69957081546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990</v>
      </c>
      <c r="B95" s="745" t="s">
        <v>991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992</v>
      </c>
      <c r="C96" s="752">
        <f>IF(C82=0,0,C69/C82)</f>
        <v>55521.864710093061</v>
      </c>
      <c r="D96" s="752">
        <f>IF(D82=0,0,D69/D82)</f>
        <v>54669.001826939042</v>
      </c>
      <c r="E96" s="752">
        <f>IF(E82=0,0,E69/E82)</f>
        <v>59804.243377483443</v>
      </c>
    </row>
    <row r="97" spans="1:5" ht="26.1" customHeight="1" x14ac:dyDescent="0.25">
      <c r="A97" s="742">
        <v>2</v>
      </c>
      <c r="B97" s="743" t="s">
        <v>993</v>
      </c>
      <c r="C97" s="752">
        <f>IF(C82=0,0,C70/C82)</f>
        <v>16709.056907659273</v>
      </c>
      <c r="D97" s="752">
        <f>IF(D82=0,0,D70/D82)</f>
        <v>18137.329347284503</v>
      </c>
      <c r="E97" s="752">
        <f>IF(E82=0,0,E70/E82)</f>
        <v>17794.301324503311</v>
      </c>
    </row>
    <row r="98" spans="1:5" ht="26.1" customHeight="1" x14ac:dyDescent="0.25">
      <c r="A98" s="753">
        <v>3</v>
      </c>
      <c r="B98" s="754" t="s">
        <v>994</v>
      </c>
      <c r="C98" s="757">
        <f>+C96+C97</f>
        <v>72230.921617752334</v>
      </c>
      <c r="D98" s="757">
        <f>+D96+D97</f>
        <v>72806.331174223538</v>
      </c>
      <c r="E98" s="757">
        <f>+E96+E97</f>
        <v>77598.544701986757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995</v>
      </c>
      <c r="B100" s="745" t="s">
        <v>996</v>
      </c>
    </row>
    <row r="101" spans="1:5" ht="26.1" customHeight="1" x14ac:dyDescent="0.25">
      <c r="A101" s="742">
        <v>1</v>
      </c>
      <c r="B101" s="743" t="s">
        <v>997</v>
      </c>
      <c r="C101" s="744">
        <f>IF(C83=0,0,C75/C83)</f>
        <v>60264.636442328505</v>
      </c>
      <c r="D101" s="744">
        <f>IF(D83=0,0,D75/D83)</f>
        <v>59875.275167785236</v>
      </c>
      <c r="E101" s="744">
        <f>IF(E83=0,0,E75/E83)</f>
        <v>63191.173957273655</v>
      </c>
    </row>
    <row r="102" spans="1:5" ht="26.1" customHeight="1" x14ac:dyDescent="0.25">
      <c r="A102" s="742">
        <v>2</v>
      </c>
      <c r="B102" s="743" t="s">
        <v>998</v>
      </c>
      <c r="C102" s="761">
        <f>IF(C83=0,0,C76/C83)</f>
        <v>18136.371997403159</v>
      </c>
      <c r="D102" s="761">
        <f>IF(D83=0,0,D76/D83)</f>
        <v>19864.599896747546</v>
      </c>
      <c r="E102" s="761">
        <f>IF(E83=0,0,E76/E83)</f>
        <v>18802.066124109868</v>
      </c>
    </row>
    <row r="103" spans="1:5" ht="26.1" customHeight="1" x14ac:dyDescent="0.25">
      <c r="A103" s="753">
        <v>3</v>
      </c>
      <c r="B103" s="754" t="s">
        <v>996</v>
      </c>
      <c r="C103" s="757">
        <f>+C101+C102</f>
        <v>78401.008439731668</v>
      </c>
      <c r="D103" s="757">
        <f>+D101+D102</f>
        <v>79739.875064532782</v>
      </c>
      <c r="E103" s="757">
        <f>+E101+E102</f>
        <v>81993.240081383527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999</v>
      </c>
      <c r="B107" s="736" t="s">
        <v>1000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1001</v>
      </c>
      <c r="C108" s="744">
        <f>IF(C19=0,0,C77/C19)</f>
        <v>2352.0811530221386</v>
      </c>
      <c r="D108" s="744">
        <f>IF(D19=0,0,D77/D19)</f>
        <v>2524.2880630188924</v>
      </c>
      <c r="E108" s="744">
        <f>IF(E19=0,0,E77/E19)</f>
        <v>2540.0023635446869</v>
      </c>
    </row>
    <row r="109" spans="1:5" ht="26.1" customHeight="1" x14ac:dyDescent="0.25">
      <c r="A109" s="742">
        <v>2</v>
      </c>
      <c r="B109" s="743" t="s">
        <v>1002</v>
      </c>
      <c r="C109" s="744">
        <f>IF(C20=0,0,C77/C20)</f>
        <v>10448.192069214132</v>
      </c>
      <c r="D109" s="744">
        <f>IF(D20=0,0,D77/D20)</f>
        <v>11111.95237410072</v>
      </c>
      <c r="E109" s="744">
        <f>IF(E20=0,0,E77/E20)</f>
        <v>10609.366197183099</v>
      </c>
    </row>
    <row r="110" spans="1:5" ht="26.1" customHeight="1" x14ac:dyDescent="0.25">
      <c r="A110" s="742">
        <v>3</v>
      </c>
      <c r="B110" s="743" t="s">
        <v>1003</v>
      </c>
      <c r="C110" s="744">
        <f>IF(C22=0,0,C77/C22)</f>
        <v>1000.6849218608386</v>
      </c>
      <c r="D110" s="744">
        <f>IF(D22=0,0,D77/D22)</f>
        <v>1047.6466585230787</v>
      </c>
      <c r="E110" s="744">
        <f>IF(E22=0,0,E77/E22)</f>
        <v>1094.0930356235135</v>
      </c>
    </row>
    <row r="111" spans="1:5" ht="26.1" customHeight="1" x14ac:dyDescent="0.25">
      <c r="A111" s="742">
        <v>4</v>
      </c>
      <c r="B111" s="743" t="s">
        <v>1004</v>
      </c>
      <c r="C111" s="744">
        <f>IF(C23=0,0,C77/C23)</f>
        <v>4445.1477581607778</v>
      </c>
      <c r="D111" s="744">
        <f>IF(D23=0,0,D77/D23)</f>
        <v>4611.7556648712325</v>
      </c>
      <c r="E111" s="744">
        <f>IF(E23=0,0,E77/E23)</f>
        <v>4569.9302627886436</v>
      </c>
    </row>
    <row r="112" spans="1:5" ht="26.1" customHeight="1" x14ac:dyDescent="0.25">
      <c r="A112" s="742">
        <v>5</v>
      </c>
      <c r="B112" s="743" t="s">
        <v>1005</v>
      </c>
      <c r="C112" s="744">
        <f>IF(C29=0,0,C77/C29)</f>
        <v>883.84682321293758</v>
      </c>
      <c r="D112" s="744">
        <f>IF(D29=0,0,D77/D29)</f>
        <v>922.2495788886032</v>
      </c>
      <c r="E112" s="744">
        <f>IF(E29=0,0,E77/E29)</f>
        <v>910.13386122266593</v>
      </c>
    </row>
    <row r="113" spans="1:7" ht="25.5" customHeight="1" x14ac:dyDescent="0.25">
      <c r="A113" s="742">
        <v>6</v>
      </c>
      <c r="B113" s="743" t="s">
        <v>1006</v>
      </c>
      <c r="C113" s="744">
        <f>IF(C30=0,0,C77/C30)</f>
        <v>3926.1406252195752</v>
      </c>
      <c r="D113" s="744">
        <f>IF(D30=0,0,D77/D30)</f>
        <v>4059.7559160457445</v>
      </c>
      <c r="E113" s="744">
        <f>IF(E30=0,0,E77/E30)</f>
        <v>3801.5489909592775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75" bottom="0.75" header="0.3" footer="0.3"/>
  <pageSetup scale="68" fitToHeight="0" orientation="portrait" r:id="rId1"/>
  <headerFooter>
    <oddHeader>&amp;L&amp;"Arial,Bold"&amp;12OFFICE OF HEALTH CARE ACCESS&amp;C&amp;"Arial,Bold"&amp;12TWELVE MONTHS ACTUAL FILING&amp;R&amp;"Arial,Bold"&amp;12GRIFFIN HOSPITAL</oddHeader>
    <oddFooter>&amp;L&amp;"Arial,Bold"&amp;12REPORT 700&amp;C&amp;"Arial,Bold"&amp;12PAGE &amp;P of &amp;N&amp;R&amp;"Arial,Bold"&amp;12&amp;D,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H9" sqref="H9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511809633</v>
      </c>
      <c r="D12" s="76">
        <v>552238245</v>
      </c>
      <c r="E12" s="76">
        <f t="shared" ref="E12:E21" si="0">D12-C12</f>
        <v>40428612</v>
      </c>
      <c r="F12" s="77">
        <f t="shared" ref="F12:F21" si="1">IF(C12=0,0,E12/C12)</f>
        <v>7.8991502686312276E-2</v>
      </c>
    </row>
    <row r="13" spans="1:8" ht="23.1" customHeight="1" x14ac:dyDescent="0.2">
      <c r="A13" s="74">
        <v>2</v>
      </c>
      <c r="B13" s="75" t="s">
        <v>72</v>
      </c>
      <c r="C13" s="76">
        <v>363953669</v>
      </c>
      <c r="D13" s="76">
        <v>387565935</v>
      </c>
      <c r="E13" s="76">
        <f t="shared" si="0"/>
        <v>23612266</v>
      </c>
      <c r="F13" s="77">
        <f t="shared" si="1"/>
        <v>6.4877120389738405E-2</v>
      </c>
    </row>
    <row r="14" spans="1:8" ht="23.1" customHeight="1" x14ac:dyDescent="0.2">
      <c r="A14" s="74">
        <v>3</v>
      </c>
      <c r="B14" s="75" t="s">
        <v>73</v>
      </c>
      <c r="C14" s="76">
        <v>3122499</v>
      </c>
      <c r="D14" s="76">
        <v>3734054</v>
      </c>
      <c r="E14" s="76">
        <f t="shared" si="0"/>
        <v>611555</v>
      </c>
      <c r="F14" s="77">
        <f t="shared" si="1"/>
        <v>0.19585434615031103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144733465</v>
      </c>
      <c r="D16" s="79">
        <f>D12-D13-D14-D15</f>
        <v>160938256</v>
      </c>
      <c r="E16" s="79">
        <f t="shared" si="0"/>
        <v>16204791</v>
      </c>
      <c r="F16" s="80">
        <f t="shared" si="1"/>
        <v>0.11196298658364878</v>
      </c>
    </row>
    <row r="17" spans="1:7" ht="23.1" customHeight="1" x14ac:dyDescent="0.2">
      <c r="A17" s="74">
        <v>5</v>
      </c>
      <c r="B17" s="75" t="s">
        <v>76</v>
      </c>
      <c r="C17" s="76">
        <v>1784106</v>
      </c>
      <c r="D17" s="76">
        <v>1923631</v>
      </c>
      <c r="E17" s="76">
        <f t="shared" si="0"/>
        <v>139525</v>
      </c>
      <c r="F17" s="77">
        <f t="shared" si="1"/>
        <v>7.8204434041475118E-2</v>
      </c>
      <c r="G17" s="65"/>
    </row>
    <row r="18" spans="1:7" ht="31.5" customHeight="1" x14ac:dyDescent="0.25">
      <c r="A18" s="71"/>
      <c r="B18" s="81" t="s">
        <v>77</v>
      </c>
      <c r="C18" s="79">
        <f>C16-C17</f>
        <v>142949359</v>
      </c>
      <c r="D18" s="79">
        <f>D16-D17</f>
        <v>159014625</v>
      </c>
      <c r="E18" s="79">
        <f t="shared" si="0"/>
        <v>16065266</v>
      </c>
      <c r="F18" s="80">
        <f t="shared" si="1"/>
        <v>0.1123843164627272</v>
      </c>
    </row>
    <row r="19" spans="1:7" ht="23.1" customHeight="1" x14ac:dyDescent="0.2">
      <c r="A19" s="74">
        <v>6</v>
      </c>
      <c r="B19" s="75" t="s">
        <v>78</v>
      </c>
      <c r="C19" s="76">
        <v>5691910</v>
      </c>
      <c r="D19" s="76">
        <v>8671262</v>
      </c>
      <c r="E19" s="76">
        <f t="shared" si="0"/>
        <v>2979352</v>
      </c>
      <c r="F19" s="77">
        <f t="shared" si="1"/>
        <v>0.52343624547823142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423387</v>
      </c>
      <c r="E20" s="76">
        <f t="shared" si="0"/>
        <v>423387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148641269</v>
      </c>
      <c r="D21" s="79">
        <f>SUM(D18:D20)</f>
        <v>168109274</v>
      </c>
      <c r="E21" s="79">
        <f t="shared" si="0"/>
        <v>19468005</v>
      </c>
      <c r="F21" s="80">
        <f t="shared" si="1"/>
        <v>0.1309730812376205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57989204</v>
      </c>
      <c r="D24" s="76">
        <v>62116924</v>
      </c>
      <c r="E24" s="76">
        <f t="shared" ref="E24:E33" si="2">D24-C24</f>
        <v>4127720</v>
      </c>
      <c r="F24" s="77">
        <f t="shared" ref="F24:F33" si="3">IF(C24=0,0,E24/C24)</f>
        <v>7.1180835660375683E-2</v>
      </c>
    </row>
    <row r="25" spans="1:7" ht="23.1" customHeight="1" x14ac:dyDescent="0.2">
      <c r="A25" s="74">
        <v>2</v>
      </c>
      <c r="B25" s="75" t="s">
        <v>83</v>
      </c>
      <c r="C25" s="76">
        <v>19238865</v>
      </c>
      <c r="D25" s="76">
        <v>18482431</v>
      </c>
      <c r="E25" s="76">
        <f t="shared" si="2"/>
        <v>-756434</v>
      </c>
      <c r="F25" s="77">
        <f t="shared" si="3"/>
        <v>-3.9318015901665719E-2</v>
      </c>
    </row>
    <row r="26" spans="1:7" ht="23.1" customHeight="1" x14ac:dyDescent="0.2">
      <c r="A26" s="74">
        <v>3</v>
      </c>
      <c r="B26" s="75" t="s">
        <v>84</v>
      </c>
      <c r="C26" s="76">
        <v>4610328</v>
      </c>
      <c r="D26" s="76">
        <v>5113929</v>
      </c>
      <c r="E26" s="76">
        <f t="shared" si="2"/>
        <v>503601</v>
      </c>
      <c r="F26" s="77">
        <f t="shared" si="3"/>
        <v>0.1092332259223205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20986764</v>
      </c>
      <c r="D27" s="76">
        <v>23772738</v>
      </c>
      <c r="E27" s="76">
        <f t="shared" si="2"/>
        <v>2785974</v>
      </c>
      <c r="F27" s="77">
        <f t="shared" si="3"/>
        <v>0.13274909843175442</v>
      </c>
    </row>
    <row r="28" spans="1:7" ht="23.1" customHeight="1" x14ac:dyDescent="0.2">
      <c r="A28" s="74">
        <v>5</v>
      </c>
      <c r="B28" s="75" t="s">
        <v>86</v>
      </c>
      <c r="C28" s="76">
        <v>4440683</v>
      </c>
      <c r="D28" s="76">
        <v>4253885</v>
      </c>
      <c r="E28" s="76">
        <f t="shared" si="2"/>
        <v>-186798</v>
      </c>
      <c r="F28" s="77">
        <f t="shared" si="3"/>
        <v>-4.2065150788741283E-2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2123883</v>
      </c>
      <c r="D30" s="76">
        <v>2128918</v>
      </c>
      <c r="E30" s="76">
        <f t="shared" si="2"/>
        <v>5035</v>
      </c>
      <c r="F30" s="77">
        <f t="shared" si="3"/>
        <v>2.3706578940553692E-3</v>
      </c>
    </row>
    <row r="31" spans="1:7" ht="23.1" customHeight="1" x14ac:dyDescent="0.2">
      <c r="A31" s="74">
        <v>8</v>
      </c>
      <c r="B31" s="75" t="s">
        <v>89</v>
      </c>
      <c r="C31" s="76">
        <v>536009</v>
      </c>
      <c r="D31" s="76">
        <v>1441982</v>
      </c>
      <c r="E31" s="76">
        <f t="shared" si="2"/>
        <v>905973</v>
      </c>
      <c r="F31" s="77">
        <f t="shared" si="3"/>
        <v>1.6902197537727912</v>
      </c>
    </row>
    <row r="32" spans="1:7" ht="23.1" customHeight="1" x14ac:dyDescent="0.2">
      <c r="A32" s="74">
        <v>9</v>
      </c>
      <c r="B32" s="75" t="s">
        <v>90</v>
      </c>
      <c r="C32" s="76">
        <v>31227705</v>
      </c>
      <c r="D32" s="76">
        <v>32967418</v>
      </c>
      <c r="E32" s="76">
        <f t="shared" si="2"/>
        <v>1739713</v>
      </c>
      <c r="F32" s="77">
        <f t="shared" si="3"/>
        <v>5.5710562143455628E-2</v>
      </c>
    </row>
    <row r="33" spans="1:6" ht="23.1" customHeight="1" x14ac:dyDescent="0.25">
      <c r="A33" s="71"/>
      <c r="B33" s="78" t="s">
        <v>91</v>
      </c>
      <c r="C33" s="79">
        <f>SUM(C24:C32)</f>
        <v>141153441</v>
      </c>
      <c r="D33" s="79">
        <f>SUM(D24:D32)</f>
        <v>150278225</v>
      </c>
      <c r="E33" s="79">
        <f t="shared" si="2"/>
        <v>9124784</v>
      </c>
      <c r="F33" s="80">
        <f t="shared" si="3"/>
        <v>6.4644431870421071E-2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7487828</v>
      </c>
      <c r="D35" s="79">
        <f>+D21-D33</f>
        <v>17831049</v>
      </c>
      <c r="E35" s="79">
        <f>D35-C35</f>
        <v>10343221</v>
      </c>
      <c r="F35" s="80">
        <f>IF(C35=0,0,E35/C35)</f>
        <v>1.3813379527414358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180955</v>
      </c>
      <c r="D38" s="76">
        <v>728488</v>
      </c>
      <c r="E38" s="76">
        <f>D38-C38</f>
        <v>547533</v>
      </c>
      <c r="F38" s="77">
        <f>IF(C38=0,0,E38/C38)</f>
        <v>3.0257964687353209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0</v>
      </c>
      <c r="E40" s="76">
        <f>D40-C40</f>
        <v>0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180955</v>
      </c>
      <c r="D41" s="79">
        <f>SUM(D38:D40)</f>
        <v>728488</v>
      </c>
      <c r="E41" s="79">
        <f>D41-C41</f>
        <v>547533</v>
      </c>
      <c r="F41" s="80">
        <f>IF(C41=0,0,E41/C41)</f>
        <v>3.0257964687353209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7668783</v>
      </c>
      <c r="D43" s="79">
        <f>D35+D41</f>
        <v>18559537</v>
      </c>
      <c r="E43" s="79">
        <f>D43-C43</f>
        <v>10890754</v>
      </c>
      <c r="F43" s="80">
        <f>IF(C43=0,0,E43/C43)</f>
        <v>1.4201411097432279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-2577644</v>
      </c>
      <c r="D47" s="76">
        <v>-2766091</v>
      </c>
      <c r="E47" s="76">
        <f>D47-C47</f>
        <v>-188447</v>
      </c>
      <c r="F47" s="77">
        <f>IF(C47=0,0,E47/C47)</f>
        <v>7.3108233720405147E-2</v>
      </c>
    </row>
    <row r="48" spans="1:6" ht="23.1" customHeight="1" x14ac:dyDescent="0.25">
      <c r="A48" s="83"/>
      <c r="B48" s="78" t="s">
        <v>102</v>
      </c>
      <c r="C48" s="79">
        <f>SUM(C46:C47)</f>
        <v>-2577644</v>
      </c>
      <c r="D48" s="79">
        <f>SUM(D46:D47)</f>
        <v>-2766091</v>
      </c>
      <c r="E48" s="79">
        <f>D48-C48</f>
        <v>-188447</v>
      </c>
      <c r="F48" s="80">
        <f>IF(C48=0,0,E48/C48)</f>
        <v>7.3108233720405147E-2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5091139</v>
      </c>
      <c r="D50" s="79">
        <f>D43+D48</f>
        <v>15793446</v>
      </c>
      <c r="E50" s="79">
        <f>D50-C50</f>
        <v>10702307</v>
      </c>
      <c r="F50" s="80">
        <f>IF(C50=0,0,E50/C50)</f>
        <v>2.1021439406781077</v>
      </c>
    </row>
    <row r="51" spans="1:6" ht="23.1" customHeight="1" x14ac:dyDescent="0.2">
      <c r="A51" s="85"/>
      <c r="B51" s="75" t="s">
        <v>104</v>
      </c>
      <c r="C51" s="76">
        <v>2269100</v>
      </c>
      <c r="D51" s="76">
        <v>2365260</v>
      </c>
      <c r="E51" s="76">
        <f>D51-C51</f>
        <v>96160</v>
      </c>
      <c r="F51" s="77">
        <f>IF(C51=0,0,E51/C51)</f>
        <v>4.2378035344409676E-2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62" orientation="portrait" r:id="rId1"/>
  <headerFooter>
    <oddHeader>&amp;LOFFICE OF HEALTH CARE ACCESS&amp;CTWELVE MONTHS ACTUAL FILING&amp;RGRIFFIN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topLeftCell="A85"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79876904</v>
      </c>
      <c r="D14" s="113">
        <v>88803357</v>
      </c>
      <c r="E14" s="113">
        <f t="shared" ref="E14:E25" si="0">D14-C14</f>
        <v>8926453</v>
      </c>
      <c r="F14" s="114">
        <f t="shared" ref="F14:F25" si="1">IF(C14=0,0,E14/C14)</f>
        <v>0.11175261625062484</v>
      </c>
    </row>
    <row r="15" spans="1:6" x14ac:dyDescent="0.2">
      <c r="A15" s="115">
        <v>2</v>
      </c>
      <c r="B15" s="116" t="s">
        <v>114</v>
      </c>
      <c r="C15" s="113">
        <v>42301327</v>
      </c>
      <c r="D15" s="113">
        <v>44639752</v>
      </c>
      <c r="E15" s="113">
        <f t="shared" si="0"/>
        <v>2338425</v>
      </c>
      <c r="F15" s="114">
        <f t="shared" si="1"/>
        <v>5.5280180690312625E-2</v>
      </c>
    </row>
    <row r="16" spans="1:6" x14ac:dyDescent="0.2">
      <c r="A16" s="115">
        <v>3</v>
      </c>
      <c r="B16" s="116" t="s">
        <v>115</v>
      </c>
      <c r="C16" s="113">
        <v>36492468</v>
      </c>
      <c r="D16" s="113">
        <v>39002367</v>
      </c>
      <c r="E16" s="113">
        <f t="shared" si="0"/>
        <v>2509899</v>
      </c>
      <c r="F16" s="114">
        <f t="shared" si="1"/>
        <v>6.8778549041955725E-2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147675</v>
      </c>
      <c r="D18" s="113">
        <v>166684</v>
      </c>
      <c r="E18" s="113">
        <f t="shared" si="0"/>
        <v>19009</v>
      </c>
      <c r="F18" s="114">
        <f t="shared" si="1"/>
        <v>0.12872185542576603</v>
      </c>
    </row>
    <row r="19" spans="1:6" x14ac:dyDescent="0.2">
      <c r="A19" s="115">
        <v>6</v>
      </c>
      <c r="B19" s="116" t="s">
        <v>118</v>
      </c>
      <c r="C19" s="113">
        <v>6102419</v>
      </c>
      <c r="D19" s="113">
        <v>7542725</v>
      </c>
      <c r="E19" s="113">
        <f t="shared" si="0"/>
        <v>1440306</v>
      </c>
      <c r="F19" s="114">
        <f t="shared" si="1"/>
        <v>0.23602214138360542</v>
      </c>
    </row>
    <row r="20" spans="1:6" x14ac:dyDescent="0.2">
      <c r="A20" s="115">
        <v>7</v>
      </c>
      <c r="B20" s="116" t="s">
        <v>119</v>
      </c>
      <c r="C20" s="113">
        <v>44764251</v>
      </c>
      <c r="D20" s="113">
        <v>54761350</v>
      </c>
      <c r="E20" s="113">
        <f t="shared" si="0"/>
        <v>9997099</v>
      </c>
      <c r="F20" s="114">
        <f t="shared" si="1"/>
        <v>0.22332773980737441</v>
      </c>
    </row>
    <row r="21" spans="1:6" x14ac:dyDescent="0.2">
      <c r="A21" s="115">
        <v>8</v>
      </c>
      <c r="B21" s="116" t="s">
        <v>120</v>
      </c>
      <c r="C21" s="113">
        <v>2434209</v>
      </c>
      <c r="D21" s="113">
        <v>2566525</v>
      </c>
      <c r="E21" s="113">
        <f t="shared" si="0"/>
        <v>132316</v>
      </c>
      <c r="F21" s="114">
        <f t="shared" si="1"/>
        <v>5.4356877326474429E-2</v>
      </c>
    </row>
    <row r="22" spans="1:6" x14ac:dyDescent="0.2">
      <c r="A22" s="115">
        <v>9</v>
      </c>
      <c r="B22" s="116" t="s">
        <v>121</v>
      </c>
      <c r="C22" s="113">
        <v>295352</v>
      </c>
      <c r="D22" s="113">
        <v>391041</v>
      </c>
      <c r="E22" s="113">
        <f t="shared" si="0"/>
        <v>95689</v>
      </c>
      <c r="F22" s="114">
        <f t="shared" si="1"/>
        <v>0.32398290852948347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212414605</v>
      </c>
      <c r="D25" s="119">
        <f>SUM(D14:D24)</f>
        <v>237873801</v>
      </c>
      <c r="E25" s="119">
        <f t="shared" si="0"/>
        <v>25459196</v>
      </c>
      <c r="F25" s="120">
        <f t="shared" si="1"/>
        <v>0.1198561464264663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68754787</v>
      </c>
      <c r="D27" s="113">
        <v>69449605</v>
      </c>
      <c r="E27" s="113">
        <f t="shared" ref="E27:E38" si="2">D27-C27</f>
        <v>694818</v>
      </c>
      <c r="F27" s="114">
        <f t="shared" ref="F27:F38" si="3">IF(C27=0,0,E27/C27)</f>
        <v>1.0105739982875665E-2</v>
      </c>
    </row>
    <row r="28" spans="1:6" x14ac:dyDescent="0.2">
      <c r="A28" s="115">
        <v>2</v>
      </c>
      <c r="B28" s="116" t="s">
        <v>114</v>
      </c>
      <c r="C28" s="113">
        <v>36119625</v>
      </c>
      <c r="D28" s="113">
        <v>37663883</v>
      </c>
      <c r="E28" s="113">
        <f t="shared" si="2"/>
        <v>1544258</v>
      </c>
      <c r="F28" s="114">
        <f t="shared" si="3"/>
        <v>4.2753987617534787E-2</v>
      </c>
    </row>
    <row r="29" spans="1:6" x14ac:dyDescent="0.2">
      <c r="A29" s="115">
        <v>3</v>
      </c>
      <c r="B29" s="116" t="s">
        <v>115</v>
      </c>
      <c r="C29" s="113">
        <v>70096265</v>
      </c>
      <c r="D29" s="113">
        <v>76599661</v>
      </c>
      <c r="E29" s="113">
        <f t="shared" si="2"/>
        <v>6503396</v>
      </c>
      <c r="F29" s="114">
        <f t="shared" si="3"/>
        <v>9.277806741914138E-2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415176</v>
      </c>
      <c r="D31" s="113">
        <v>388433</v>
      </c>
      <c r="E31" s="113">
        <f t="shared" si="2"/>
        <v>-26743</v>
      </c>
      <c r="F31" s="114">
        <f t="shared" si="3"/>
        <v>-6.4413646260862864E-2</v>
      </c>
    </row>
    <row r="32" spans="1:6" x14ac:dyDescent="0.2">
      <c r="A32" s="115">
        <v>6</v>
      </c>
      <c r="B32" s="116" t="s">
        <v>118</v>
      </c>
      <c r="C32" s="113">
        <v>8772670</v>
      </c>
      <c r="D32" s="113">
        <v>10696639</v>
      </c>
      <c r="E32" s="113">
        <f t="shared" si="2"/>
        <v>1923969</v>
      </c>
      <c r="F32" s="114">
        <f t="shared" si="3"/>
        <v>0.21931396028803091</v>
      </c>
    </row>
    <row r="33" spans="1:6" x14ac:dyDescent="0.2">
      <c r="A33" s="115">
        <v>7</v>
      </c>
      <c r="B33" s="116" t="s">
        <v>119</v>
      </c>
      <c r="C33" s="113">
        <v>107443401</v>
      </c>
      <c r="D33" s="113">
        <v>112739139</v>
      </c>
      <c r="E33" s="113">
        <f t="shared" si="2"/>
        <v>5295738</v>
      </c>
      <c r="F33" s="114">
        <f t="shared" si="3"/>
        <v>4.9288629647901781E-2</v>
      </c>
    </row>
    <row r="34" spans="1:6" x14ac:dyDescent="0.2">
      <c r="A34" s="115">
        <v>8</v>
      </c>
      <c r="B34" s="116" t="s">
        <v>120</v>
      </c>
      <c r="C34" s="113">
        <v>5230411</v>
      </c>
      <c r="D34" s="113">
        <v>4130586</v>
      </c>
      <c r="E34" s="113">
        <f t="shared" si="2"/>
        <v>-1099825</v>
      </c>
      <c r="F34" s="114">
        <f t="shared" si="3"/>
        <v>-0.21027506251420777</v>
      </c>
    </row>
    <row r="35" spans="1:6" x14ac:dyDescent="0.2">
      <c r="A35" s="115">
        <v>9</v>
      </c>
      <c r="B35" s="116" t="s">
        <v>121</v>
      </c>
      <c r="C35" s="113">
        <v>2562693</v>
      </c>
      <c r="D35" s="113">
        <v>2696497</v>
      </c>
      <c r="E35" s="113">
        <f t="shared" si="2"/>
        <v>133804</v>
      </c>
      <c r="F35" s="114">
        <f t="shared" si="3"/>
        <v>5.2212262647145014E-2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299395028</v>
      </c>
      <c r="D38" s="119">
        <f>SUM(D27:D37)</f>
        <v>314364443</v>
      </c>
      <c r="E38" s="119">
        <f t="shared" si="2"/>
        <v>14969415</v>
      </c>
      <c r="F38" s="120">
        <f t="shared" si="3"/>
        <v>4.9998876400846576E-2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148631691</v>
      </c>
      <c r="D41" s="119">
        <f t="shared" si="4"/>
        <v>158252962</v>
      </c>
      <c r="E41" s="123">
        <f t="shared" ref="E41:E52" si="5">D41-C41</f>
        <v>9621271</v>
      </c>
      <c r="F41" s="124">
        <f t="shared" ref="F41:F52" si="6">IF(C41=0,0,E41/C41)</f>
        <v>6.4732298578235245E-2</v>
      </c>
    </row>
    <row r="42" spans="1:6" ht="15.75" x14ac:dyDescent="0.25">
      <c r="A42" s="121">
        <v>2</v>
      </c>
      <c r="B42" s="122" t="s">
        <v>114</v>
      </c>
      <c r="C42" s="119">
        <f t="shared" si="4"/>
        <v>78420952</v>
      </c>
      <c r="D42" s="119">
        <f t="shared" si="4"/>
        <v>82303635</v>
      </c>
      <c r="E42" s="123">
        <f t="shared" si="5"/>
        <v>3882683</v>
      </c>
      <c r="F42" s="124">
        <f t="shared" si="6"/>
        <v>4.9510786352096312E-2</v>
      </c>
    </row>
    <row r="43" spans="1:6" ht="15.75" x14ac:dyDescent="0.25">
      <c r="A43" s="121">
        <v>3</v>
      </c>
      <c r="B43" s="122" t="s">
        <v>115</v>
      </c>
      <c r="C43" s="119">
        <f t="shared" si="4"/>
        <v>106588733</v>
      </c>
      <c r="D43" s="119">
        <f t="shared" si="4"/>
        <v>115602028</v>
      </c>
      <c r="E43" s="123">
        <f t="shared" si="5"/>
        <v>9013295</v>
      </c>
      <c r="F43" s="124">
        <f t="shared" si="6"/>
        <v>8.4561423579357115E-2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562851</v>
      </c>
      <c r="D45" s="119">
        <f t="shared" si="4"/>
        <v>555117</v>
      </c>
      <c r="E45" s="123">
        <f t="shared" si="5"/>
        <v>-7734</v>
      </c>
      <c r="F45" s="124">
        <f t="shared" si="6"/>
        <v>-1.3740759099655149E-2</v>
      </c>
    </row>
    <row r="46" spans="1:6" ht="15.75" x14ac:dyDescent="0.25">
      <c r="A46" s="121">
        <v>6</v>
      </c>
      <c r="B46" s="122" t="s">
        <v>118</v>
      </c>
      <c r="C46" s="119">
        <f t="shared" si="4"/>
        <v>14875089</v>
      </c>
      <c r="D46" s="119">
        <f t="shared" si="4"/>
        <v>18239364</v>
      </c>
      <c r="E46" s="123">
        <f t="shared" si="5"/>
        <v>3364275</v>
      </c>
      <c r="F46" s="124">
        <f t="shared" si="6"/>
        <v>0.22616839468994102</v>
      </c>
    </row>
    <row r="47" spans="1:6" ht="15.75" x14ac:dyDescent="0.25">
      <c r="A47" s="121">
        <v>7</v>
      </c>
      <c r="B47" s="122" t="s">
        <v>119</v>
      </c>
      <c r="C47" s="119">
        <f t="shared" si="4"/>
        <v>152207652</v>
      </c>
      <c r="D47" s="119">
        <f t="shared" si="4"/>
        <v>167500489</v>
      </c>
      <c r="E47" s="123">
        <f t="shared" si="5"/>
        <v>15292837</v>
      </c>
      <c r="F47" s="124">
        <f t="shared" si="6"/>
        <v>0.10047350970239</v>
      </c>
    </row>
    <row r="48" spans="1:6" ht="15.75" x14ac:dyDescent="0.25">
      <c r="A48" s="121">
        <v>8</v>
      </c>
      <c r="B48" s="122" t="s">
        <v>120</v>
      </c>
      <c r="C48" s="119">
        <f t="shared" si="4"/>
        <v>7664620</v>
      </c>
      <c r="D48" s="119">
        <f t="shared" si="4"/>
        <v>6697111</v>
      </c>
      <c r="E48" s="123">
        <f t="shared" si="5"/>
        <v>-967509</v>
      </c>
      <c r="F48" s="124">
        <f t="shared" si="6"/>
        <v>-0.12623052414862054</v>
      </c>
    </row>
    <row r="49" spans="1:6" ht="15.75" x14ac:dyDescent="0.25">
      <c r="A49" s="121">
        <v>9</v>
      </c>
      <c r="B49" s="122" t="s">
        <v>121</v>
      </c>
      <c r="C49" s="119">
        <f t="shared" si="4"/>
        <v>2858045</v>
      </c>
      <c r="D49" s="119">
        <f t="shared" si="4"/>
        <v>3087538</v>
      </c>
      <c r="E49" s="123">
        <f t="shared" si="5"/>
        <v>229493</v>
      </c>
      <c r="F49" s="124">
        <f t="shared" si="6"/>
        <v>8.0297196160312376E-2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511809633</v>
      </c>
      <c r="D52" s="128">
        <f>SUM(D41:D51)</f>
        <v>552238244</v>
      </c>
      <c r="E52" s="127">
        <f t="shared" si="5"/>
        <v>40428611</v>
      </c>
      <c r="F52" s="129">
        <f t="shared" si="6"/>
        <v>7.8991500732460806E-2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24983287</v>
      </c>
      <c r="D57" s="113">
        <v>30494031</v>
      </c>
      <c r="E57" s="113">
        <f t="shared" ref="E57:E68" si="7">D57-C57</f>
        <v>5510744</v>
      </c>
      <c r="F57" s="114">
        <f t="shared" ref="F57:F68" si="8">IF(C57=0,0,E57/C57)</f>
        <v>0.22057722028330379</v>
      </c>
    </row>
    <row r="58" spans="1:6" x14ac:dyDescent="0.2">
      <c r="A58" s="115">
        <v>2</v>
      </c>
      <c r="B58" s="116" t="s">
        <v>114</v>
      </c>
      <c r="C58" s="113">
        <v>9846489</v>
      </c>
      <c r="D58" s="113">
        <v>10986398</v>
      </c>
      <c r="E58" s="113">
        <f t="shared" si="7"/>
        <v>1139909</v>
      </c>
      <c r="F58" s="114">
        <f t="shared" si="8"/>
        <v>0.11576806717602589</v>
      </c>
    </row>
    <row r="59" spans="1:6" x14ac:dyDescent="0.2">
      <c r="A59" s="115">
        <v>3</v>
      </c>
      <c r="B59" s="116" t="s">
        <v>115</v>
      </c>
      <c r="C59" s="113">
        <v>7773339</v>
      </c>
      <c r="D59" s="113">
        <v>8415128</v>
      </c>
      <c r="E59" s="113">
        <f t="shared" si="7"/>
        <v>641789</v>
      </c>
      <c r="F59" s="114">
        <f t="shared" si="8"/>
        <v>8.2562847188318939E-2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0</v>
      </c>
      <c r="D61" s="113">
        <v>166684</v>
      </c>
      <c r="E61" s="113">
        <f t="shared" si="7"/>
        <v>166684</v>
      </c>
      <c r="F61" s="114">
        <f t="shared" si="8"/>
        <v>0</v>
      </c>
    </row>
    <row r="62" spans="1:6" x14ac:dyDescent="0.2">
      <c r="A62" s="115">
        <v>6</v>
      </c>
      <c r="B62" s="116" t="s">
        <v>118</v>
      </c>
      <c r="C62" s="113">
        <v>3022111</v>
      </c>
      <c r="D62" s="113">
        <v>3486047</v>
      </c>
      <c r="E62" s="113">
        <f t="shared" si="7"/>
        <v>463936</v>
      </c>
      <c r="F62" s="114">
        <f t="shared" si="8"/>
        <v>0.15351388483083514</v>
      </c>
    </row>
    <row r="63" spans="1:6" x14ac:dyDescent="0.2">
      <c r="A63" s="115">
        <v>7</v>
      </c>
      <c r="B63" s="116" t="s">
        <v>119</v>
      </c>
      <c r="C63" s="113">
        <v>17377574</v>
      </c>
      <c r="D63" s="113">
        <v>22219914</v>
      </c>
      <c r="E63" s="113">
        <f t="shared" si="7"/>
        <v>4842340</v>
      </c>
      <c r="F63" s="114">
        <f t="shared" si="8"/>
        <v>0.27865454637108722</v>
      </c>
    </row>
    <row r="64" spans="1:6" x14ac:dyDescent="0.2">
      <c r="A64" s="115">
        <v>8</v>
      </c>
      <c r="B64" s="116" t="s">
        <v>120</v>
      </c>
      <c r="C64" s="113">
        <v>1646877</v>
      </c>
      <c r="D64" s="113">
        <v>1413479</v>
      </c>
      <c r="E64" s="113">
        <f t="shared" si="7"/>
        <v>-233398</v>
      </c>
      <c r="F64" s="114">
        <f t="shared" si="8"/>
        <v>-0.14172157362085935</v>
      </c>
    </row>
    <row r="65" spans="1:6" x14ac:dyDescent="0.2">
      <c r="A65" s="115">
        <v>9</v>
      </c>
      <c r="B65" s="116" t="s">
        <v>121</v>
      </c>
      <c r="C65" s="113">
        <v>99041</v>
      </c>
      <c r="D65" s="113">
        <v>135790</v>
      </c>
      <c r="E65" s="113">
        <f t="shared" si="7"/>
        <v>36749</v>
      </c>
      <c r="F65" s="114">
        <f t="shared" si="8"/>
        <v>0.37104835371209904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64748718</v>
      </c>
      <c r="D68" s="119">
        <f>SUM(D57:D67)</f>
        <v>77317471</v>
      </c>
      <c r="E68" s="119">
        <f t="shared" si="7"/>
        <v>12568753</v>
      </c>
      <c r="F68" s="120">
        <f t="shared" si="8"/>
        <v>0.19411585878812304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13272385</v>
      </c>
      <c r="D70" s="113">
        <v>13482988</v>
      </c>
      <c r="E70" s="113">
        <f t="shared" ref="E70:E81" si="9">D70-C70</f>
        <v>210603</v>
      </c>
      <c r="F70" s="114">
        <f t="shared" ref="F70:F81" si="10">IF(C70=0,0,E70/C70)</f>
        <v>1.586775850760809E-2</v>
      </c>
    </row>
    <row r="71" spans="1:6" x14ac:dyDescent="0.2">
      <c r="A71" s="115">
        <v>2</v>
      </c>
      <c r="B71" s="116" t="s">
        <v>114</v>
      </c>
      <c r="C71" s="113">
        <v>6970910</v>
      </c>
      <c r="D71" s="113">
        <v>7139319</v>
      </c>
      <c r="E71" s="113">
        <f t="shared" si="9"/>
        <v>168409</v>
      </c>
      <c r="F71" s="114">
        <f t="shared" si="10"/>
        <v>2.4158825748718603E-2</v>
      </c>
    </row>
    <row r="72" spans="1:6" x14ac:dyDescent="0.2">
      <c r="A72" s="115">
        <v>3</v>
      </c>
      <c r="B72" s="116" t="s">
        <v>115</v>
      </c>
      <c r="C72" s="113">
        <v>12593462</v>
      </c>
      <c r="D72" s="113">
        <v>13540753</v>
      </c>
      <c r="E72" s="113">
        <f t="shared" si="9"/>
        <v>947291</v>
      </c>
      <c r="F72" s="114">
        <f t="shared" si="10"/>
        <v>7.522085666356082E-2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76825</v>
      </c>
      <c r="D74" s="113">
        <v>388433</v>
      </c>
      <c r="E74" s="113">
        <f t="shared" si="9"/>
        <v>311608</v>
      </c>
      <c r="F74" s="114">
        <f t="shared" si="10"/>
        <v>4.056075496257729</v>
      </c>
    </row>
    <row r="75" spans="1:6" x14ac:dyDescent="0.2">
      <c r="A75" s="115">
        <v>6</v>
      </c>
      <c r="B75" s="116" t="s">
        <v>118</v>
      </c>
      <c r="C75" s="113">
        <v>4699180</v>
      </c>
      <c r="D75" s="113">
        <v>4948142</v>
      </c>
      <c r="E75" s="113">
        <f t="shared" si="9"/>
        <v>248962</v>
      </c>
      <c r="F75" s="114">
        <f t="shared" si="10"/>
        <v>5.2979881596363618E-2</v>
      </c>
    </row>
    <row r="76" spans="1:6" x14ac:dyDescent="0.2">
      <c r="A76" s="115">
        <v>7</v>
      </c>
      <c r="B76" s="116" t="s">
        <v>119</v>
      </c>
      <c r="C76" s="113">
        <v>39872215</v>
      </c>
      <c r="D76" s="113">
        <v>42605114</v>
      </c>
      <c r="E76" s="113">
        <f t="shared" si="9"/>
        <v>2732899</v>
      </c>
      <c r="F76" s="114">
        <f t="shared" si="10"/>
        <v>6.854143919518893E-2</v>
      </c>
    </row>
    <row r="77" spans="1:6" x14ac:dyDescent="0.2">
      <c r="A77" s="115">
        <v>8</v>
      </c>
      <c r="B77" s="116" t="s">
        <v>120</v>
      </c>
      <c r="C77" s="113">
        <v>1555500</v>
      </c>
      <c r="D77" s="113">
        <v>1176055</v>
      </c>
      <c r="E77" s="113">
        <f t="shared" si="9"/>
        <v>-379445</v>
      </c>
      <c r="F77" s="114">
        <f t="shared" si="10"/>
        <v>-0.24393764063002249</v>
      </c>
    </row>
    <row r="78" spans="1:6" x14ac:dyDescent="0.2">
      <c r="A78" s="115">
        <v>9</v>
      </c>
      <c r="B78" s="116" t="s">
        <v>121</v>
      </c>
      <c r="C78" s="113">
        <v>241000</v>
      </c>
      <c r="D78" s="113">
        <v>171104</v>
      </c>
      <c r="E78" s="113">
        <f t="shared" si="9"/>
        <v>-69896</v>
      </c>
      <c r="F78" s="114">
        <f t="shared" si="10"/>
        <v>-0.29002489626556016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79281477</v>
      </c>
      <c r="D81" s="119">
        <f>SUM(D70:D80)</f>
        <v>83451908</v>
      </c>
      <c r="E81" s="119">
        <f t="shared" si="9"/>
        <v>4170431</v>
      </c>
      <c r="F81" s="120">
        <f t="shared" si="10"/>
        <v>5.2602841897105422E-2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38255672</v>
      </c>
      <c r="D84" s="119">
        <f t="shared" si="11"/>
        <v>43977019</v>
      </c>
      <c r="E84" s="119">
        <f t="shared" ref="E84:E95" si="12">D84-C84</f>
        <v>5721347</v>
      </c>
      <c r="F84" s="120">
        <f t="shared" ref="F84:F95" si="13">IF(C84=0,0,E84/C84)</f>
        <v>0.1495555221197003</v>
      </c>
    </row>
    <row r="85" spans="1:6" ht="15.75" x14ac:dyDescent="0.25">
      <c r="A85" s="130">
        <v>2</v>
      </c>
      <c r="B85" s="122" t="s">
        <v>114</v>
      </c>
      <c r="C85" s="119">
        <f t="shared" si="11"/>
        <v>16817399</v>
      </c>
      <c r="D85" s="119">
        <f t="shared" si="11"/>
        <v>18125717</v>
      </c>
      <c r="E85" s="119">
        <f t="shared" si="12"/>
        <v>1308318</v>
      </c>
      <c r="F85" s="120">
        <f t="shared" si="13"/>
        <v>7.7795502146318821E-2</v>
      </c>
    </row>
    <row r="86" spans="1:6" ht="15.75" x14ac:dyDescent="0.25">
      <c r="A86" s="130">
        <v>3</v>
      </c>
      <c r="B86" s="122" t="s">
        <v>115</v>
      </c>
      <c r="C86" s="119">
        <f t="shared" si="11"/>
        <v>20366801</v>
      </c>
      <c r="D86" s="119">
        <f t="shared" si="11"/>
        <v>21955881</v>
      </c>
      <c r="E86" s="119">
        <f t="shared" si="12"/>
        <v>1589080</v>
      </c>
      <c r="F86" s="120">
        <f t="shared" si="13"/>
        <v>7.8023053301301465E-2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76825</v>
      </c>
      <c r="D88" s="119">
        <f t="shared" si="11"/>
        <v>555117</v>
      </c>
      <c r="E88" s="119">
        <f t="shared" si="12"/>
        <v>478292</v>
      </c>
      <c r="F88" s="120">
        <f t="shared" si="13"/>
        <v>6.225733810608526</v>
      </c>
    </row>
    <row r="89" spans="1:6" ht="15.75" x14ac:dyDescent="0.25">
      <c r="A89" s="130">
        <v>6</v>
      </c>
      <c r="B89" s="122" t="s">
        <v>118</v>
      </c>
      <c r="C89" s="119">
        <f t="shared" si="11"/>
        <v>7721291</v>
      </c>
      <c r="D89" s="119">
        <f t="shared" si="11"/>
        <v>8434189</v>
      </c>
      <c r="E89" s="119">
        <f t="shared" si="12"/>
        <v>712898</v>
      </c>
      <c r="F89" s="120">
        <f t="shared" si="13"/>
        <v>9.2328860549356323E-2</v>
      </c>
    </row>
    <row r="90" spans="1:6" ht="15.75" x14ac:dyDescent="0.25">
      <c r="A90" s="130">
        <v>7</v>
      </c>
      <c r="B90" s="122" t="s">
        <v>119</v>
      </c>
      <c r="C90" s="119">
        <f t="shared" si="11"/>
        <v>57249789</v>
      </c>
      <c r="D90" s="119">
        <f t="shared" si="11"/>
        <v>64825028</v>
      </c>
      <c r="E90" s="119">
        <f t="shared" si="12"/>
        <v>7575239</v>
      </c>
      <c r="F90" s="120">
        <f t="shared" si="13"/>
        <v>0.1323190728266265</v>
      </c>
    </row>
    <row r="91" spans="1:6" ht="15.75" x14ac:dyDescent="0.25">
      <c r="A91" s="130">
        <v>8</v>
      </c>
      <c r="B91" s="122" t="s">
        <v>120</v>
      </c>
      <c r="C91" s="119">
        <f t="shared" si="11"/>
        <v>3202377</v>
      </c>
      <c r="D91" s="119">
        <f t="shared" si="11"/>
        <v>2589534</v>
      </c>
      <c r="E91" s="119">
        <f t="shared" si="12"/>
        <v>-612843</v>
      </c>
      <c r="F91" s="120">
        <f t="shared" si="13"/>
        <v>-0.19137128451771918</v>
      </c>
    </row>
    <row r="92" spans="1:6" ht="15.75" x14ac:dyDescent="0.25">
      <c r="A92" s="130">
        <v>9</v>
      </c>
      <c r="B92" s="122" t="s">
        <v>121</v>
      </c>
      <c r="C92" s="119">
        <f t="shared" si="11"/>
        <v>340041</v>
      </c>
      <c r="D92" s="119">
        <f t="shared" si="11"/>
        <v>306894</v>
      </c>
      <c r="E92" s="119">
        <f t="shared" si="12"/>
        <v>-33147</v>
      </c>
      <c r="F92" s="120">
        <f t="shared" si="13"/>
        <v>-9.7479421599160107E-2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144030195</v>
      </c>
      <c r="D95" s="128">
        <f>SUM(D84:D94)</f>
        <v>160769379</v>
      </c>
      <c r="E95" s="128">
        <f t="shared" si="12"/>
        <v>16739184</v>
      </c>
      <c r="F95" s="129">
        <f t="shared" si="13"/>
        <v>0.11621996345974536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2260</v>
      </c>
      <c r="D100" s="133">
        <v>2417</v>
      </c>
      <c r="E100" s="133">
        <f t="shared" ref="E100:E111" si="14">D100-C100</f>
        <v>157</v>
      </c>
      <c r="F100" s="114">
        <f t="shared" ref="F100:F111" si="15">IF(C100=0,0,E100/C100)</f>
        <v>6.9469026548672569E-2</v>
      </c>
    </row>
    <row r="101" spans="1:6" x14ac:dyDescent="0.2">
      <c r="A101" s="115">
        <v>2</v>
      </c>
      <c r="B101" s="116" t="s">
        <v>114</v>
      </c>
      <c r="C101" s="133">
        <v>1127</v>
      </c>
      <c r="D101" s="133">
        <v>1165</v>
      </c>
      <c r="E101" s="133">
        <f t="shared" si="14"/>
        <v>38</v>
      </c>
      <c r="F101" s="114">
        <f t="shared" si="15"/>
        <v>3.3717834960070983E-2</v>
      </c>
    </row>
    <row r="102" spans="1:6" x14ac:dyDescent="0.2">
      <c r="A102" s="115">
        <v>3</v>
      </c>
      <c r="B102" s="116" t="s">
        <v>115</v>
      </c>
      <c r="C102" s="133">
        <v>1523</v>
      </c>
      <c r="D102" s="133">
        <v>1638</v>
      </c>
      <c r="E102" s="133">
        <f t="shared" si="14"/>
        <v>115</v>
      </c>
      <c r="F102" s="114">
        <f t="shared" si="15"/>
        <v>7.5508864084044655E-2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10</v>
      </c>
      <c r="D104" s="133">
        <v>10</v>
      </c>
      <c r="E104" s="133">
        <f t="shared" si="14"/>
        <v>0</v>
      </c>
      <c r="F104" s="114">
        <f t="shared" si="15"/>
        <v>0</v>
      </c>
    </row>
    <row r="105" spans="1:6" x14ac:dyDescent="0.2">
      <c r="A105" s="115">
        <v>6</v>
      </c>
      <c r="B105" s="116" t="s">
        <v>118</v>
      </c>
      <c r="C105" s="133">
        <v>152</v>
      </c>
      <c r="D105" s="133">
        <v>155</v>
      </c>
      <c r="E105" s="133">
        <f t="shared" si="14"/>
        <v>3</v>
      </c>
      <c r="F105" s="114">
        <f t="shared" si="15"/>
        <v>1.9736842105263157E-2</v>
      </c>
    </row>
    <row r="106" spans="1:6" x14ac:dyDescent="0.2">
      <c r="A106" s="115">
        <v>7</v>
      </c>
      <c r="B106" s="116" t="s">
        <v>119</v>
      </c>
      <c r="C106" s="133">
        <v>1835</v>
      </c>
      <c r="D106" s="133">
        <v>2160</v>
      </c>
      <c r="E106" s="133">
        <f t="shared" si="14"/>
        <v>325</v>
      </c>
      <c r="F106" s="114">
        <f t="shared" si="15"/>
        <v>0.17711171662125341</v>
      </c>
    </row>
    <row r="107" spans="1:6" x14ac:dyDescent="0.2">
      <c r="A107" s="115">
        <v>8</v>
      </c>
      <c r="B107" s="116" t="s">
        <v>120</v>
      </c>
      <c r="C107" s="133">
        <v>32</v>
      </c>
      <c r="D107" s="133">
        <v>33</v>
      </c>
      <c r="E107" s="133">
        <f t="shared" si="14"/>
        <v>1</v>
      </c>
      <c r="F107" s="114">
        <f t="shared" si="15"/>
        <v>3.125E-2</v>
      </c>
    </row>
    <row r="108" spans="1:6" x14ac:dyDescent="0.2">
      <c r="A108" s="115">
        <v>9</v>
      </c>
      <c r="B108" s="116" t="s">
        <v>121</v>
      </c>
      <c r="C108" s="133">
        <v>11</v>
      </c>
      <c r="D108" s="133">
        <v>19</v>
      </c>
      <c r="E108" s="133">
        <f t="shared" si="14"/>
        <v>8</v>
      </c>
      <c r="F108" s="114">
        <f t="shared" si="15"/>
        <v>0.72727272727272729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6950</v>
      </c>
      <c r="D111" s="134">
        <f>SUM(D100:D110)</f>
        <v>7597</v>
      </c>
      <c r="E111" s="134">
        <f t="shared" si="14"/>
        <v>647</v>
      </c>
      <c r="F111" s="120">
        <f t="shared" si="15"/>
        <v>9.3093525179856113E-2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11163</v>
      </c>
      <c r="D113" s="133">
        <v>11816</v>
      </c>
      <c r="E113" s="133">
        <f t="shared" ref="E113:E124" si="16">D113-C113</f>
        <v>653</v>
      </c>
      <c r="F113" s="114">
        <f t="shared" ref="F113:F124" si="17">IF(C113=0,0,E113/C113)</f>
        <v>5.8496819851294457E-2</v>
      </c>
    </row>
    <row r="114" spans="1:6" x14ac:dyDescent="0.2">
      <c r="A114" s="115">
        <v>2</v>
      </c>
      <c r="B114" s="116" t="s">
        <v>114</v>
      </c>
      <c r="C114" s="133">
        <v>5425</v>
      </c>
      <c r="D114" s="133">
        <v>5240</v>
      </c>
      <c r="E114" s="133">
        <f t="shared" si="16"/>
        <v>-185</v>
      </c>
      <c r="F114" s="114">
        <f t="shared" si="17"/>
        <v>-3.4101382488479264E-2</v>
      </c>
    </row>
    <row r="115" spans="1:6" x14ac:dyDescent="0.2">
      <c r="A115" s="115">
        <v>3</v>
      </c>
      <c r="B115" s="116" t="s">
        <v>115</v>
      </c>
      <c r="C115" s="133">
        <v>6648</v>
      </c>
      <c r="D115" s="133">
        <v>6699</v>
      </c>
      <c r="E115" s="133">
        <f t="shared" si="16"/>
        <v>51</v>
      </c>
      <c r="F115" s="114">
        <f t="shared" si="17"/>
        <v>7.6714801444043319E-3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26</v>
      </c>
      <c r="D117" s="133">
        <v>24</v>
      </c>
      <c r="E117" s="133">
        <f t="shared" si="16"/>
        <v>-2</v>
      </c>
      <c r="F117" s="114">
        <f t="shared" si="17"/>
        <v>-7.6923076923076927E-2</v>
      </c>
    </row>
    <row r="118" spans="1:6" x14ac:dyDescent="0.2">
      <c r="A118" s="115">
        <v>6</v>
      </c>
      <c r="B118" s="116" t="s">
        <v>118</v>
      </c>
      <c r="C118" s="133">
        <v>570</v>
      </c>
      <c r="D118" s="133">
        <v>534</v>
      </c>
      <c r="E118" s="133">
        <f t="shared" si="16"/>
        <v>-36</v>
      </c>
      <c r="F118" s="114">
        <f t="shared" si="17"/>
        <v>-6.3157894736842107E-2</v>
      </c>
    </row>
    <row r="119" spans="1:6" x14ac:dyDescent="0.2">
      <c r="A119" s="115">
        <v>7</v>
      </c>
      <c r="B119" s="116" t="s">
        <v>119</v>
      </c>
      <c r="C119" s="133">
        <v>6634</v>
      </c>
      <c r="D119" s="133">
        <v>7306</v>
      </c>
      <c r="E119" s="133">
        <f t="shared" si="16"/>
        <v>672</v>
      </c>
      <c r="F119" s="114">
        <f t="shared" si="17"/>
        <v>0.10129635212541453</v>
      </c>
    </row>
    <row r="120" spans="1:6" x14ac:dyDescent="0.2">
      <c r="A120" s="115">
        <v>8</v>
      </c>
      <c r="B120" s="116" t="s">
        <v>120</v>
      </c>
      <c r="C120" s="133">
        <v>103</v>
      </c>
      <c r="D120" s="133">
        <v>70</v>
      </c>
      <c r="E120" s="133">
        <f t="shared" si="16"/>
        <v>-33</v>
      </c>
      <c r="F120" s="114">
        <f t="shared" si="17"/>
        <v>-0.32038834951456313</v>
      </c>
    </row>
    <row r="121" spans="1:6" x14ac:dyDescent="0.2">
      <c r="A121" s="115">
        <v>9</v>
      </c>
      <c r="B121" s="116" t="s">
        <v>121</v>
      </c>
      <c r="C121" s="133">
        <v>25</v>
      </c>
      <c r="D121" s="133">
        <v>43</v>
      </c>
      <c r="E121" s="133">
        <f t="shared" si="16"/>
        <v>18</v>
      </c>
      <c r="F121" s="114">
        <f t="shared" si="17"/>
        <v>0.72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30594</v>
      </c>
      <c r="D124" s="134">
        <f>SUM(D113:D123)</f>
        <v>31732</v>
      </c>
      <c r="E124" s="134">
        <f t="shared" si="16"/>
        <v>1138</v>
      </c>
      <c r="F124" s="120">
        <f t="shared" si="17"/>
        <v>3.7196835980911287E-2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33481</v>
      </c>
      <c r="D126" s="133">
        <v>35025</v>
      </c>
      <c r="E126" s="133">
        <f t="shared" ref="E126:E137" si="18">D126-C126</f>
        <v>1544</v>
      </c>
      <c r="F126" s="114">
        <f t="shared" ref="F126:F137" si="19">IF(C126=0,0,E126/C126)</f>
        <v>4.611570741614647E-2</v>
      </c>
    </row>
    <row r="127" spans="1:6" x14ac:dyDescent="0.2">
      <c r="A127" s="115">
        <v>2</v>
      </c>
      <c r="B127" s="116" t="s">
        <v>114</v>
      </c>
      <c r="C127" s="133">
        <v>15059</v>
      </c>
      <c r="D127" s="133">
        <v>16089</v>
      </c>
      <c r="E127" s="133">
        <f t="shared" si="18"/>
        <v>1030</v>
      </c>
      <c r="F127" s="114">
        <f t="shared" si="19"/>
        <v>6.8397635965203527E-2</v>
      </c>
    </row>
    <row r="128" spans="1:6" x14ac:dyDescent="0.2">
      <c r="A128" s="115">
        <v>3</v>
      </c>
      <c r="B128" s="116" t="s">
        <v>115</v>
      </c>
      <c r="C128" s="133">
        <v>37071</v>
      </c>
      <c r="D128" s="133">
        <v>38031</v>
      </c>
      <c r="E128" s="133">
        <f t="shared" si="18"/>
        <v>960</v>
      </c>
      <c r="F128" s="114">
        <f t="shared" si="19"/>
        <v>2.5896253135874403E-2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157</v>
      </c>
      <c r="D130" s="133">
        <v>151</v>
      </c>
      <c r="E130" s="133">
        <f t="shared" si="18"/>
        <v>-6</v>
      </c>
      <c r="F130" s="114">
        <f t="shared" si="19"/>
        <v>-3.8216560509554139E-2</v>
      </c>
    </row>
    <row r="131" spans="1:6" x14ac:dyDescent="0.2">
      <c r="A131" s="115">
        <v>6</v>
      </c>
      <c r="B131" s="116" t="s">
        <v>118</v>
      </c>
      <c r="C131" s="133">
        <v>3170</v>
      </c>
      <c r="D131" s="133">
        <v>4007</v>
      </c>
      <c r="E131" s="133">
        <f t="shared" si="18"/>
        <v>837</v>
      </c>
      <c r="F131" s="114">
        <f t="shared" si="19"/>
        <v>0.26403785488958992</v>
      </c>
    </row>
    <row r="132" spans="1:6" x14ac:dyDescent="0.2">
      <c r="A132" s="115">
        <v>7</v>
      </c>
      <c r="B132" s="116" t="s">
        <v>119</v>
      </c>
      <c r="C132" s="133">
        <v>43924</v>
      </c>
      <c r="D132" s="133">
        <v>44594</v>
      </c>
      <c r="E132" s="133">
        <f t="shared" si="18"/>
        <v>670</v>
      </c>
      <c r="F132" s="114">
        <f t="shared" si="19"/>
        <v>1.5253619888899008E-2</v>
      </c>
    </row>
    <row r="133" spans="1:6" x14ac:dyDescent="0.2">
      <c r="A133" s="115">
        <v>8</v>
      </c>
      <c r="B133" s="116" t="s">
        <v>120</v>
      </c>
      <c r="C133" s="133">
        <v>3221</v>
      </c>
      <c r="D133" s="133">
        <v>2613</v>
      </c>
      <c r="E133" s="133">
        <f t="shared" si="18"/>
        <v>-608</v>
      </c>
      <c r="F133" s="114">
        <f t="shared" si="19"/>
        <v>-0.18876125426886059</v>
      </c>
    </row>
    <row r="134" spans="1:6" x14ac:dyDescent="0.2">
      <c r="A134" s="115">
        <v>9</v>
      </c>
      <c r="B134" s="116" t="s">
        <v>121</v>
      </c>
      <c r="C134" s="133">
        <v>2163</v>
      </c>
      <c r="D134" s="133">
        <v>2410</v>
      </c>
      <c r="E134" s="133">
        <f t="shared" si="18"/>
        <v>247</v>
      </c>
      <c r="F134" s="114">
        <f t="shared" si="19"/>
        <v>0.11419325011558021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138246</v>
      </c>
      <c r="D137" s="134">
        <f>SUM(D126:D136)</f>
        <v>142920</v>
      </c>
      <c r="E137" s="134">
        <f t="shared" si="18"/>
        <v>4674</v>
      </c>
      <c r="F137" s="120">
        <f t="shared" si="19"/>
        <v>3.3809296471507315E-2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10586267</v>
      </c>
      <c r="D142" s="113">
        <v>11529156</v>
      </c>
      <c r="E142" s="113">
        <f t="shared" ref="E142:E153" si="20">D142-C142</f>
        <v>942889</v>
      </c>
      <c r="F142" s="114">
        <f t="shared" ref="F142:F153" si="21">IF(C142=0,0,E142/C142)</f>
        <v>8.9067184872627908E-2</v>
      </c>
    </row>
    <row r="143" spans="1:6" x14ac:dyDescent="0.2">
      <c r="A143" s="115">
        <v>2</v>
      </c>
      <c r="B143" s="116" t="s">
        <v>114</v>
      </c>
      <c r="C143" s="113">
        <v>5298678</v>
      </c>
      <c r="D143" s="113">
        <v>5897328</v>
      </c>
      <c r="E143" s="113">
        <f t="shared" si="20"/>
        <v>598650</v>
      </c>
      <c r="F143" s="114">
        <f t="shared" si="21"/>
        <v>0.11298101149003581</v>
      </c>
    </row>
    <row r="144" spans="1:6" x14ac:dyDescent="0.2">
      <c r="A144" s="115">
        <v>3</v>
      </c>
      <c r="B144" s="116" t="s">
        <v>115</v>
      </c>
      <c r="C144" s="113">
        <v>28595937</v>
      </c>
      <c r="D144" s="113">
        <v>30474775</v>
      </c>
      <c r="E144" s="113">
        <f t="shared" si="20"/>
        <v>1878838</v>
      </c>
      <c r="F144" s="114">
        <f t="shared" si="21"/>
        <v>6.5702970320573859E-2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129603</v>
      </c>
      <c r="D146" s="113">
        <v>147419</v>
      </c>
      <c r="E146" s="113">
        <f t="shared" si="20"/>
        <v>17816</v>
      </c>
      <c r="F146" s="114">
        <f t="shared" si="21"/>
        <v>0.13746595372020709</v>
      </c>
    </row>
    <row r="147" spans="1:6" x14ac:dyDescent="0.2">
      <c r="A147" s="115">
        <v>6</v>
      </c>
      <c r="B147" s="116" t="s">
        <v>118</v>
      </c>
      <c r="C147" s="113">
        <v>1312524</v>
      </c>
      <c r="D147" s="113">
        <v>1388563</v>
      </c>
      <c r="E147" s="113">
        <f t="shared" si="20"/>
        <v>76039</v>
      </c>
      <c r="F147" s="114">
        <f t="shared" si="21"/>
        <v>5.7933416836568323E-2</v>
      </c>
    </row>
    <row r="148" spans="1:6" x14ac:dyDescent="0.2">
      <c r="A148" s="115">
        <v>7</v>
      </c>
      <c r="B148" s="116" t="s">
        <v>119</v>
      </c>
      <c r="C148" s="113">
        <v>18350311</v>
      </c>
      <c r="D148" s="113">
        <v>19058376</v>
      </c>
      <c r="E148" s="113">
        <f t="shared" si="20"/>
        <v>708065</v>
      </c>
      <c r="F148" s="114">
        <f t="shared" si="21"/>
        <v>3.8585994537095311E-2</v>
      </c>
    </row>
    <row r="149" spans="1:6" x14ac:dyDescent="0.2">
      <c r="A149" s="115">
        <v>8</v>
      </c>
      <c r="B149" s="116" t="s">
        <v>120</v>
      </c>
      <c r="C149" s="113">
        <v>967991</v>
      </c>
      <c r="D149" s="113">
        <v>892365</v>
      </c>
      <c r="E149" s="113">
        <f t="shared" si="20"/>
        <v>-75626</v>
      </c>
      <c r="F149" s="114">
        <f t="shared" si="21"/>
        <v>-7.8126759443011354E-2</v>
      </c>
    </row>
    <row r="150" spans="1:6" x14ac:dyDescent="0.2">
      <c r="A150" s="115">
        <v>9</v>
      </c>
      <c r="B150" s="116" t="s">
        <v>121</v>
      </c>
      <c r="C150" s="113">
        <v>2113517</v>
      </c>
      <c r="D150" s="113">
        <v>2149054</v>
      </c>
      <c r="E150" s="113">
        <f t="shared" si="20"/>
        <v>35537</v>
      </c>
      <c r="F150" s="114">
        <f t="shared" si="21"/>
        <v>1.6814153848774341E-2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67354828</v>
      </c>
      <c r="D153" s="119">
        <f>SUM(D142:D152)</f>
        <v>71537036</v>
      </c>
      <c r="E153" s="119">
        <f t="shared" si="20"/>
        <v>4182208</v>
      </c>
      <c r="F153" s="120">
        <f t="shared" si="21"/>
        <v>6.2092178455269757E-2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2105383</v>
      </c>
      <c r="D155" s="113">
        <v>2275254</v>
      </c>
      <c r="E155" s="113">
        <f t="shared" ref="E155:E166" si="22">D155-C155</f>
        <v>169871</v>
      </c>
      <c r="F155" s="114">
        <f t="shared" ref="F155:F166" si="23">IF(C155=0,0,E155/C155)</f>
        <v>8.0684132055782731E-2</v>
      </c>
    </row>
    <row r="156" spans="1:6" x14ac:dyDescent="0.2">
      <c r="A156" s="115">
        <v>2</v>
      </c>
      <c r="B156" s="116" t="s">
        <v>114</v>
      </c>
      <c r="C156" s="113">
        <v>1055325</v>
      </c>
      <c r="D156" s="113">
        <v>1121052</v>
      </c>
      <c r="E156" s="113">
        <f t="shared" si="22"/>
        <v>65727</v>
      </c>
      <c r="F156" s="114">
        <f t="shared" si="23"/>
        <v>6.2281287754957004E-2</v>
      </c>
    </row>
    <row r="157" spans="1:6" x14ac:dyDescent="0.2">
      <c r="A157" s="115">
        <v>3</v>
      </c>
      <c r="B157" s="116" t="s">
        <v>115</v>
      </c>
      <c r="C157" s="113">
        <v>5224826</v>
      </c>
      <c r="D157" s="113">
        <v>5439460</v>
      </c>
      <c r="E157" s="113">
        <f t="shared" si="22"/>
        <v>214634</v>
      </c>
      <c r="F157" s="114">
        <f t="shared" si="23"/>
        <v>4.107964552312364E-2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30293</v>
      </c>
      <c r="D159" s="113">
        <v>33427</v>
      </c>
      <c r="E159" s="113">
        <f t="shared" si="22"/>
        <v>3134</v>
      </c>
      <c r="F159" s="114">
        <f t="shared" si="23"/>
        <v>0.10345624401676955</v>
      </c>
    </row>
    <row r="160" spans="1:6" x14ac:dyDescent="0.2">
      <c r="A160" s="115">
        <v>6</v>
      </c>
      <c r="B160" s="116" t="s">
        <v>118</v>
      </c>
      <c r="C160" s="113">
        <v>526692</v>
      </c>
      <c r="D160" s="113">
        <v>568291</v>
      </c>
      <c r="E160" s="113">
        <f t="shared" si="22"/>
        <v>41599</v>
      </c>
      <c r="F160" s="114">
        <f t="shared" si="23"/>
        <v>7.8981643920925326E-2</v>
      </c>
    </row>
    <row r="161" spans="1:6" x14ac:dyDescent="0.2">
      <c r="A161" s="115">
        <v>7</v>
      </c>
      <c r="B161" s="116" t="s">
        <v>119</v>
      </c>
      <c r="C161" s="113">
        <v>6960242</v>
      </c>
      <c r="D161" s="113">
        <v>7259557</v>
      </c>
      <c r="E161" s="113">
        <f t="shared" si="22"/>
        <v>299315</v>
      </c>
      <c r="F161" s="114">
        <f t="shared" si="23"/>
        <v>4.3003533497829531E-2</v>
      </c>
    </row>
    <row r="162" spans="1:6" x14ac:dyDescent="0.2">
      <c r="A162" s="115">
        <v>8</v>
      </c>
      <c r="B162" s="116" t="s">
        <v>120</v>
      </c>
      <c r="C162" s="113">
        <v>596076</v>
      </c>
      <c r="D162" s="113">
        <v>493708</v>
      </c>
      <c r="E162" s="113">
        <f t="shared" si="22"/>
        <v>-102368</v>
      </c>
      <c r="F162" s="114">
        <f t="shared" si="23"/>
        <v>-0.17173648997778806</v>
      </c>
    </row>
    <row r="163" spans="1:6" x14ac:dyDescent="0.2">
      <c r="A163" s="115">
        <v>9</v>
      </c>
      <c r="B163" s="116" t="s">
        <v>121</v>
      </c>
      <c r="C163" s="113">
        <v>76071</v>
      </c>
      <c r="D163" s="113">
        <v>68077</v>
      </c>
      <c r="E163" s="113">
        <f t="shared" si="22"/>
        <v>-7994</v>
      </c>
      <c r="F163" s="114">
        <f t="shared" si="23"/>
        <v>-0.10508603804340681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16574908</v>
      </c>
      <c r="D166" s="119">
        <f>SUM(D155:D165)</f>
        <v>17258826</v>
      </c>
      <c r="E166" s="119">
        <f t="shared" si="22"/>
        <v>683918</v>
      </c>
      <c r="F166" s="120">
        <f t="shared" si="23"/>
        <v>4.1262250143409542E-2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4545</v>
      </c>
      <c r="D168" s="133">
        <v>4768</v>
      </c>
      <c r="E168" s="133">
        <f t="shared" ref="E168:E179" si="24">D168-C168</f>
        <v>223</v>
      </c>
      <c r="F168" s="114">
        <f t="shared" ref="F168:F179" si="25">IF(C168=0,0,E168/C168)</f>
        <v>4.9064906490649061E-2</v>
      </c>
    </row>
    <row r="169" spans="1:6" x14ac:dyDescent="0.2">
      <c r="A169" s="115">
        <v>2</v>
      </c>
      <c r="B169" s="116" t="s">
        <v>114</v>
      </c>
      <c r="C169" s="133">
        <v>2085</v>
      </c>
      <c r="D169" s="133">
        <v>2121</v>
      </c>
      <c r="E169" s="133">
        <f t="shared" si="24"/>
        <v>36</v>
      </c>
      <c r="F169" s="114">
        <f t="shared" si="25"/>
        <v>1.7266187050359712E-2</v>
      </c>
    </row>
    <row r="170" spans="1:6" x14ac:dyDescent="0.2">
      <c r="A170" s="115">
        <v>3</v>
      </c>
      <c r="B170" s="116" t="s">
        <v>115</v>
      </c>
      <c r="C170" s="133">
        <v>13504</v>
      </c>
      <c r="D170" s="133">
        <v>13633</v>
      </c>
      <c r="E170" s="133">
        <f t="shared" si="24"/>
        <v>129</v>
      </c>
      <c r="F170" s="114">
        <f t="shared" si="25"/>
        <v>9.5527251184834121E-3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87</v>
      </c>
      <c r="D172" s="133">
        <v>91</v>
      </c>
      <c r="E172" s="133">
        <f t="shared" si="24"/>
        <v>4</v>
      </c>
      <c r="F172" s="114">
        <f t="shared" si="25"/>
        <v>4.5977011494252873E-2</v>
      </c>
    </row>
    <row r="173" spans="1:6" x14ac:dyDescent="0.2">
      <c r="A173" s="115">
        <v>6</v>
      </c>
      <c r="B173" s="116" t="s">
        <v>118</v>
      </c>
      <c r="C173" s="133">
        <v>657</v>
      </c>
      <c r="D173" s="133">
        <v>658</v>
      </c>
      <c r="E173" s="133">
        <f t="shared" si="24"/>
        <v>1</v>
      </c>
      <c r="F173" s="114">
        <f t="shared" si="25"/>
        <v>1.5220700152207001E-3</v>
      </c>
    </row>
    <row r="174" spans="1:6" x14ac:dyDescent="0.2">
      <c r="A174" s="115">
        <v>7</v>
      </c>
      <c r="B174" s="116" t="s">
        <v>119</v>
      </c>
      <c r="C174" s="133">
        <v>9327</v>
      </c>
      <c r="D174" s="133">
        <v>9117</v>
      </c>
      <c r="E174" s="133">
        <f t="shared" si="24"/>
        <v>-210</v>
      </c>
      <c r="F174" s="114">
        <f t="shared" si="25"/>
        <v>-2.2515278224509487E-2</v>
      </c>
    </row>
    <row r="175" spans="1:6" x14ac:dyDescent="0.2">
      <c r="A175" s="115">
        <v>8</v>
      </c>
      <c r="B175" s="116" t="s">
        <v>120</v>
      </c>
      <c r="C175" s="133">
        <v>730</v>
      </c>
      <c r="D175" s="133">
        <v>700</v>
      </c>
      <c r="E175" s="133">
        <f t="shared" si="24"/>
        <v>-30</v>
      </c>
      <c r="F175" s="114">
        <f t="shared" si="25"/>
        <v>-4.1095890410958902E-2</v>
      </c>
    </row>
    <row r="176" spans="1:6" x14ac:dyDescent="0.2">
      <c r="A176" s="115">
        <v>9</v>
      </c>
      <c r="B176" s="116" t="s">
        <v>121</v>
      </c>
      <c r="C176" s="133">
        <v>1246</v>
      </c>
      <c r="D176" s="133">
        <v>1252</v>
      </c>
      <c r="E176" s="133">
        <f t="shared" si="24"/>
        <v>6</v>
      </c>
      <c r="F176" s="114">
        <f t="shared" si="25"/>
        <v>4.815409309791332E-3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32181</v>
      </c>
      <c r="D179" s="134">
        <f>SUM(D168:D178)</f>
        <v>32340</v>
      </c>
      <c r="E179" s="134">
        <f t="shared" si="24"/>
        <v>159</v>
      </c>
      <c r="F179" s="120">
        <f t="shared" si="25"/>
        <v>4.9408035797520273E-3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75" bottom="0.75" header="0.3" footer="0.3"/>
  <pageSetup scale="75" fitToHeight="0" orientation="portrait" r:id="rId1"/>
  <headerFooter>
    <oddHeader>&amp;LOFFICE OF HEALTH CARE ACCESS&amp;CTWELVE MONTHS ACTUAL FILING&amp;RGRIFFIN HOSPITAL</oddHeader>
    <oddFooter>&amp;LREPORT 165&amp;C&amp;P of &amp;N&amp;R&amp;D,&amp;T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21477461</v>
      </c>
      <c r="D15" s="157">
        <v>22179490</v>
      </c>
      <c r="E15" s="157">
        <f>+D15-C15</f>
        <v>702029</v>
      </c>
      <c r="F15" s="161">
        <f>IF(C15=0,0,E15/C15)</f>
        <v>3.268677801347189E-2</v>
      </c>
    </row>
    <row r="16" spans="1:6" ht="15" customHeight="1" x14ac:dyDescent="0.2">
      <c r="A16" s="147">
        <v>2</v>
      </c>
      <c r="B16" s="160" t="s">
        <v>157</v>
      </c>
      <c r="C16" s="157">
        <v>3595537</v>
      </c>
      <c r="D16" s="157">
        <v>3815671</v>
      </c>
      <c r="E16" s="157">
        <f>+D16-C16</f>
        <v>220134</v>
      </c>
      <c r="F16" s="161">
        <f>IF(C16=0,0,E16/C16)</f>
        <v>6.1224234377229327E-2</v>
      </c>
    </row>
    <row r="17" spans="1:6" ht="15" customHeight="1" x14ac:dyDescent="0.2">
      <c r="A17" s="147">
        <v>3</v>
      </c>
      <c r="B17" s="160" t="s">
        <v>158</v>
      </c>
      <c r="C17" s="157">
        <v>32916206</v>
      </c>
      <c r="D17" s="157">
        <v>36121763</v>
      </c>
      <c r="E17" s="157">
        <f>+D17-C17</f>
        <v>3205557</v>
      </c>
      <c r="F17" s="161">
        <f>IF(C17=0,0,E17/C17)</f>
        <v>9.7385373028714181E-2</v>
      </c>
    </row>
    <row r="18" spans="1:6" ht="15.75" customHeight="1" x14ac:dyDescent="0.25">
      <c r="A18" s="147"/>
      <c r="B18" s="162" t="s">
        <v>159</v>
      </c>
      <c r="C18" s="158">
        <f>SUM(C15:C17)</f>
        <v>57989204</v>
      </c>
      <c r="D18" s="158">
        <f>SUM(D15:D17)</f>
        <v>62116924</v>
      </c>
      <c r="E18" s="158">
        <f>+D18-C18</f>
        <v>4127720</v>
      </c>
      <c r="F18" s="159">
        <f>IF(C18=0,0,E18/C18)</f>
        <v>7.1180835660375683E-2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7125501</v>
      </c>
      <c r="D21" s="157">
        <v>6599341</v>
      </c>
      <c r="E21" s="157">
        <f>+D21-C21</f>
        <v>-526160</v>
      </c>
      <c r="F21" s="161">
        <f>IF(C21=0,0,E21/C21)</f>
        <v>-7.3841825297617666E-2</v>
      </c>
    </row>
    <row r="22" spans="1:6" ht="15" customHeight="1" x14ac:dyDescent="0.2">
      <c r="A22" s="147">
        <v>2</v>
      </c>
      <c r="B22" s="160" t="s">
        <v>162</v>
      </c>
      <c r="C22" s="157">
        <v>1192878</v>
      </c>
      <c r="D22" s="157">
        <v>1135332</v>
      </c>
      <c r="E22" s="157">
        <f>+D22-C22</f>
        <v>-57546</v>
      </c>
      <c r="F22" s="161">
        <f>IF(C22=0,0,E22/C22)</f>
        <v>-4.8241312187834798E-2</v>
      </c>
    </row>
    <row r="23" spans="1:6" ht="15" customHeight="1" x14ac:dyDescent="0.2">
      <c r="A23" s="147">
        <v>3</v>
      </c>
      <c r="B23" s="160" t="s">
        <v>163</v>
      </c>
      <c r="C23" s="157">
        <v>10920486</v>
      </c>
      <c r="D23" s="157">
        <v>10747758</v>
      </c>
      <c r="E23" s="157">
        <f>+D23-C23</f>
        <v>-172728</v>
      </c>
      <c r="F23" s="161">
        <f>IF(C23=0,0,E23/C23)</f>
        <v>-1.581687847958415E-2</v>
      </c>
    </row>
    <row r="24" spans="1:6" ht="15.75" customHeight="1" x14ac:dyDescent="0.25">
      <c r="A24" s="147"/>
      <c r="B24" s="162" t="s">
        <v>164</v>
      </c>
      <c r="C24" s="158">
        <f>SUM(C21:C23)</f>
        <v>19238865</v>
      </c>
      <c r="D24" s="158">
        <f>SUM(D21:D23)</f>
        <v>18482431</v>
      </c>
      <c r="E24" s="158">
        <f>+D24-C24</f>
        <v>-756434</v>
      </c>
      <c r="F24" s="159">
        <f>IF(C24=0,0,E24/C24)</f>
        <v>-3.9318015901665719E-2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839656</v>
      </c>
      <c r="D27" s="157">
        <v>591647</v>
      </c>
      <c r="E27" s="157">
        <f>+D27-C27</f>
        <v>-248009</v>
      </c>
      <c r="F27" s="161">
        <f>IF(C27=0,0,E27/C27)</f>
        <v>-0.29536977047743362</v>
      </c>
    </row>
    <row r="28" spans="1:6" ht="15" customHeight="1" x14ac:dyDescent="0.2">
      <c r="A28" s="147">
        <v>2</v>
      </c>
      <c r="B28" s="160" t="s">
        <v>167</v>
      </c>
      <c r="C28" s="157">
        <v>4610328</v>
      </c>
      <c r="D28" s="157">
        <v>5113929</v>
      </c>
      <c r="E28" s="157">
        <f>+D28-C28</f>
        <v>503601</v>
      </c>
      <c r="F28" s="161">
        <f>IF(C28=0,0,E28/C28)</f>
        <v>0.1092332259223205</v>
      </c>
    </row>
    <row r="29" spans="1:6" ht="15" customHeight="1" x14ac:dyDescent="0.2">
      <c r="A29" s="147">
        <v>3</v>
      </c>
      <c r="B29" s="160" t="s">
        <v>168</v>
      </c>
      <c r="C29" s="157">
        <v>0</v>
      </c>
      <c r="D29" s="157">
        <v>0</v>
      </c>
      <c r="E29" s="157">
        <f>+D29-C29</f>
        <v>0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5449984</v>
      </c>
      <c r="D30" s="158">
        <f>SUM(D27:D29)</f>
        <v>5705576</v>
      </c>
      <c r="E30" s="158">
        <f>+D30-C30</f>
        <v>255592</v>
      </c>
      <c r="F30" s="159">
        <f>IF(C30=0,0,E30/C30)</f>
        <v>4.6897752360373905E-2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12270112</v>
      </c>
      <c r="D33" s="157">
        <v>14015612</v>
      </c>
      <c r="E33" s="157">
        <f>+D33-C33</f>
        <v>1745500</v>
      </c>
      <c r="F33" s="161">
        <f>IF(C33=0,0,E33/C33)</f>
        <v>0.1422562402038384</v>
      </c>
    </row>
    <row r="34" spans="1:6" ht="15" customHeight="1" x14ac:dyDescent="0.2">
      <c r="A34" s="147">
        <v>2</v>
      </c>
      <c r="B34" s="160" t="s">
        <v>173</v>
      </c>
      <c r="C34" s="157">
        <v>8716652</v>
      </c>
      <c r="D34" s="157">
        <v>9757126</v>
      </c>
      <c r="E34" s="157">
        <f>+D34-C34</f>
        <v>1040474</v>
      </c>
      <c r="F34" s="161">
        <f>IF(C34=0,0,E34/C34)</f>
        <v>0.11936624291069553</v>
      </c>
    </row>
    <row r="35" spans="1:6" ht="15.75" customHeight="1" x14ac:dyDescent="0.25">
      <c r="A35" s="147"/>
      <c r="B35" s="162" t="s">
        <v>174</v>
      </c>
      <c r="C35" s="158">
        <f>SUM(C33:C34)</f>
        <v>20986764</v>
      </c>
      <c r="D35" s="158">
        <f>SUM(D33:D34)</f>
        <v>23772738</v>
      </c>
      <c r="E35" s="158">
        <f>+D35-C35</f>
        <v>2785974</v>
      </c>
      <c r="F35" s="159">
        <f>IF(C35=0,0,E35/C35)</f>
        <v>0.13274909843175442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1897737</v>
      </c>
      <c r="D38" s="157">
        <v>2072343</v>
      </c>
      <c r="E38" s="157">
        <f>+D38-C38</f>
        <v>174606</v>
      </c>
      <c r="F38" s="161">
        <f>IF(C38=0,0,E38/C38)</f>
        <v>9.2007480488603008E-2</v>
      </c>
    </row>
    <row r="39" spans="1:6" ht="15" customHeight="1" x14ac:dyDescent="0.2">
      <c r="A39" s="147">
        <v>2</v>
      </c>
      <c r="B39" s="160" t="s">
        <v>178</v>
      </c>
      <c r="C39" s="157">
        <v>2542946</v>
      </c>
      <c r="D39" s="157">
        <v>2181542</v>
      </c>
      <c r="E39" s="157">
        <f>+D39-C39</f>
        <v>-361404</v>
      </c>
      <c r="F39" s="161">
        <f>IF(C39=0,0,E39/C39)</f>
        <v>-0.14212020231652581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4440683</v>
      </c>
      <c r="D41" s="158">
        <f>SUM(D38:D40)</f>
        <v>4253885</v>
      </c>
      <c r="E41" s="158">
        <f>+D41-C41</f>
        <v>-186798</v>
      </c>
      <c r="F41" s="159">
        <f>IF(C41=0,0,E41/C41)</f>
        <v>-4.2065150788741283E-2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2123883</v>
      </c>
      <c r="D47" s="157">
        <v>2128918</v>
      </c>
      <c r="E47" s="157">
        <f>+D47-C47</f>
        <v>5035</v>
      </c>
      <c r="F47" s="161">
        <f>IF(C47=0,0,E47/C47)</f>
        <v>2.3706578940553692E-3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536009</v>
      </c>
      <c r="D50" s="157">
        <v>1441982</v>
      </c>
      <c r="E50" s="157">
        <f>+D50-C50</f>
        <v>905973</v>
      </c>
      <c r="F50" s="161">
        <f>IF(C50=0,0,E50/C50)</f>
        <v>1.6902197537727912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372336</v>
      </c>
      <c r="D53" s="157">
        <v>371123</v>
      </c>
      <c r="E53" s="157">
        <f t="shared" ref="E53:E59" si="0">+D53-C53</f>
        <v>-1213</v>
      </c>
      <c r="F53" s="161">
        <f t="shared" ref="F53:F59" si="1">IF(C53=0,0,E53/C53)</f>
        <v>-3.2578101499720681E-3</v>
      </c>
    </row>
    <row r="54" spans="1:6" ht="15" customHeight="1" x14ac:dyDescent="0.2">
      <c r="A54" s="147">
        <v>2</v>
      </c>
      <c r="B54" s="160" t="s">
        <v>189</v>
      </c>
      <c r="C54" s="157">
        <v>972601</v>
      </c>
      <c r="D54" s="157">
        <v>841203</v>
      </c>
      <c r="E54" s="157">
        <f t="shared" si="0"/>
        <v>-131398</v>
      </c>
      <c r="F54" s="161">
        <f t="shared" si="1"/>
        <v>-0.13509959376969591</v>
      </c>
    </row>
    <row r="55" spans="1:6" ht="15" customHeight="1" x14ac:dyDescent="0.2">
      <c r="A55" s="147">
        <v>3</v>
      </c>
      <c r="B55" s="160" t="s">
        <v>190</v>
      </c>
      <c r="C55" s="157">
        <v>21783</v>
      </c>
      <c r="D55" s="157">
        <v>24519</v>
      </c>
      <c r="E55" s="157">
        <f t="shared" si="0"/>
        <v>2736</v>
      </c>
      <c r="F55" s="161">
        <f t="shared" si="1"/>
        <v>0.12560253408621402</v>
      </c>
    </row>
    <row r="56" spans="1:6" ht="15" customHeight="1" x14ac:dyDescent="0.2">
      <c r="A56" s="147">
        <v>4</v>
      </c>
      <c r="B56" s="160" t="s">
        <v>191</v>
      </c>
      <c r="C56" s="157">
        <v>1967973</v>
      </c>
      <c r="D56" s="157">
        <v>1785104</v>
      </c>
      <c r="E56" s="157">
        <f t="shared" si="0"/>
        <v>-182869</v>
      </c>
      <c r="F56" s="161">
        <f t="shared" si="1"/>
        <v>-9.292251468897185E-2</v>
      </c>
    </row>
    <row r="57" spans="1:6" ht="15" customHeight="1" x14ac:dyDescent="0.2">
      <c r="A57" s="147">
        <v>5</v>
      </c>
      <c r="B57" s="160" t="s">
        <v>192</v>
      </c>
      <c r="C57" s="157">
        <v>412695</v>
      </c>
      <c r="D57" s="157">
        <v>406964</v>
      </c>
      <c r="E57" s="157">
        <f t="shared" si="0"/>
        <v>-5731</v>
      </c>
      <c r="F57" s="161">
        <f t="shared" si="1"/>
        <v>-1.3886768679048693E-2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3747388</v>
      </c>
      <c r="D59" s="158">
        <f>SUM(D53:D58)</f>
        <v>3428913</v>
      </c>
      <c r="E59" s="158">
        <f t="shared" si="0"/>
        <v>-318475</v>
      </c>
      <c r="F59" s="159">
        <f t="shared" si="1"/>
        <v>-8.4985862152517966E-2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292725</v>
      </c>
      <c r="D62" s="157">
        <v>244331</v>
      </c>
      <c r="E62" s="157">
        <f t="shared" ref="E62:E90" si="2">+D62-C62</f>
        <v>-48394</v>
      </c>
      <c r="F62" s="161">
        <f t="shared" ref="F62:F90" si="3">IF(C62=0,0,E62/C62)</f>
        <v>-0.16532240157144076</v>
      </c>
    </row>
    <row r="63" spans="1:6" ht="15" customHeight="1" x14ac:dyDescent="0.2">
      <c r="A63" s="147">
        <v>2</v>
      </c>
      <c r="B63" s="160" t="s">
        <v>198</v>
      </c>
      <c r="C63" s="157">
        <v>175863</v>
      </c>
      <c r="D63" s="157">
        <v>306861</v>
      </c>
      <c r="E63" s="157">
        <f t="shared" si="2"/>
        <v>130998</v>
      </c>
      <c r="F63" s="161">
        <f t="shared" si="3"/>
        <v>0.74488664471776322</v>
      </c>
    </row>
    <row r="64" spans="1:6" ht="15" customHeight="1" x14ac:dyDescent="0.2">
      <c r="A64" s="147">
        <v>3</v>
      </c>
      <c r="B64" s="160" t="s">
        <v>199</v>
      </c>
      <c r="C64" s="157">
        <v>269091</v>
      </c>
      <c r="D64" s="157">
        <v>1143295</v>
      </c>
      <c r="E64" s="157">
        <f t="shared" si="2"/>
        <v>874204</v>
      </c>
      <c r="F64" s="161">
        <f t="shared" si="3"/>
        <v>3.2487299835371677</v>
      </c>
    </row>
    <row r="65" spans="1:6" ht="15" customHeight="1" x14ac:dyDescent="0.2">
      <c r="A65" s="147">
        <v>4</v>
      </c>
      <c r="B65" s="160" t="s">
        <v>200</v>
      </c>
      <c r="C65" s="157">
        <v>363908</v>
      </c>
      <c r="D65" s="157">
        <v>862626</v>
      </c>
      <c r="E65" s="157">
        <f t="shared" si="2"/>
        <v>498718</v>
      </c>
      <c r="F65" s="161">
        <f t="shared" si="3"/>
        <v>1.3704507732723656</v>
      </c>
    </row>
    <row r="66" spans="1:6" ht="15" customHeight="1" x14ac:dyDescent="0.2">
      <c r="A66" s="147">
        <v>5</v>
      </c>
      <c r="B66" s="160" t="s">
        <v>201</v>
      </c>
      <c r="C66" s="157">
        <v>1501395</v>
      </c>
      <c r="D66" s="157">
        <v>1632095</v>
      </c>
      <c r="E66" s="157">
        <f t="shared" si="2"/>
        <v>130700</v>
      </c>
      <c r="F66" s="161">
        <f t="shared" si="3"/>
        <v>8.705237462493215E-2</v>
      </c>
    </row>
    <row r="67" spans="1:6" ht="15" customHeight="1" x14ac:dyDescent="0.2">
      <c r="A67" s="147">
        <v>6</v>
      </c>
      <c r="B67" s="160" t="s">
        <v>202</v>
      </c>
      <c r="C67" s="157">
        <v>335974</v>
      </c>
      <c r="D67" s="157">
        <v>352844</v>
      </c>
      <c r="E67" s="157">
        <f t="shared" si="2"/>
        <v>16870</v>
      </c>
      <c r="F67" s="161">
        <f t="shared" si="3"/>
        <v>5.0212218802645446E-2</v>
      </c>
    </row>
    <row r="68" spans="1:6" ht="15" customHeight="1" x14ac:dyDescent="0.2">
      <c r="A68" s="147">
        <v>7</v>
      </c>
      <c r="B68" s="160" t="s">
        <v>203</v>
      </c>
      <c r="C68" s="157">
        <v>2966066</v>
      </c>
      <c r="D68" s="157">
        <v>3009562</v>
      </c>
      <c r="E68" s="157">
        <f t="shared" si="2"/>
        <v>43496</v>
      </c>
      <c r="F68" s="161">
        <f t="shared" si="3"/>
        <v>1.4664542191576316E-2</v>
      </c>
    </row>
    <row r="69" spans="1:6" ht="15" customHeight="1" x14ac:dyDescent="0.2">
      <c r="A69" s="147">
        <v>8</v>
      </c>
      <c r="B69" s="160" t="s">
        <v>204</v>
      </c>
      <c r="C69" s="157">
        <v>321179</v>
      </c>
      <c r="D69" s="157">
        <v>328505</v>
      </c>
      <c r="E69" s="157">
        <f t="shared" si="2"/>
        <v>7326</v>
      </c>
      <c r="F69" s="161">
        <f t="shared" si="3"/>
        <v>2.2809710472976127E-2</v>
      </c>
    </row>
    <row r="70" spans="1:6" ht="15" customHeight="1" x14ac:dyDescent="0.2">
      <c r="A70" s="147">
        <v>9</v>
      </c>
      <c r="B70" s="160" t="s">
        <v>205</v>
      </c>
      <c r="C70" s="157">
        <v>298457</v>
      </c>
      <c r="D70" s="157">
        <v>318155</v>
      </c>
      <c r="E70" s="157">
        <f t="shared" si="2"/>
        <v>19698</v>
      </c>
      <c r="F70" s="161">
        <f t="shared" si="3"/>
        <v>6.5999457208241047E-2</v>
      </c>
    </row>
    <row r="71" spans="1:6" ht="15" customHeight="1" x14ac:dyDescent="0.2">
      <c r="A71" s="147">
        <v>10</v>
      </c>
      <c r="B71" s="160" t="s">
        <v>206</v>
      </c>
      <c r="C71" s="157">
        <v>0</v>
      </c>
      <c r="D71" s="157">
        <v>0</v>
      </c>
      <c r="E71" s="157">
        <f t="shared" si="2"/>
        <v>0</v>
      </c>
      <c r="F71" s="161">
        <f t="shared" si="3"/>
        <v>0</v>
      </c>
    </row>
    <row r="72" spans="1:6" ht="15" customHeight="1" x14ac:dyDescent="0.2">
      <c r="A72" s="147">
        <v>11</v>
      </c>
      <c r="B72" s="160" t="s">
        <v>207</v>
      </c>
      <c r="C72" s="157">
        <v>43001</v>
      </c>
      <c r="D72" s="157">
        <v>57131</v>
      </c>
      <c r="E72" s="157">
        <f t="shared" si="2"/>
        <v>14130</v>
      </c>
      <c r="F72" s="161">
        <f t="shared" si="3"/>
        <v>0.32859700937187508</v>
      </c>
    </row>
    <row r="73" spans="1:6" ht="15" customHeight="1" x14ac:dyDescent="0.2">
      <c r="A73" s="147">
        <v>12</v>
      </c>
      <c r="B73" s="160" t="s">
        <v>208</v>
      </c>
      <c r="C73" s="157">
        <v>822585</v>
      </c>
      <c r="D73" s="157">
        <v>868206</v>
      </c>
      <c r="E73" s="157">
        <f t="shared" si="2"/>
        <v>45621</v>
      </c>
      <c r="F73" s="161">
        <f t="shared" si="3"/>
        <v>5.5460529914841628E-2</v>
      </c>
    </row>
    <row r="74" spans="1:6" ht="15" customHeight="1" x14ac:dyDescent="0.2">
      <c r="A74" s="147">
        <v>13</v>
      </c>
      <c r="B74" s="160" t="s">
        <v>209</v>
      </c>
      <c r="C74" s="157">
        <v>850037</v>
      </c>
      <c r="D74" s="157">
        <v>803433</v>
      </c>
      <c r="E74" s="157">
        <f t="shared" si="2"/>
        <v>-46604</v>
      </c>
      <c r="F74" s="161">
        <f t="shared" si="3"/>
        <v>-5.4825848757171745E-2</v>
      </c>
    </row>
    <row r="75" spans="1:6" ht="15" customHeight="1" x14ac:dyDescent="0.2">
      <c r="A75" s="147">
        <v>14</v>
      </c>
      <c r="B75" s="160" t="s">
        <v>210</v>
      </c>
      <c r="C75" s="157">
        <v>115963</v>
      </c>
      <c r="D75" s="157">
        <v>115161</v>
      </c>
      <c r="E75" s="157">
        <f t="shared" si="2"/>
        <v>-802</v>
      </c>
      <c r="F75" s="161">
        <f t="shared" si="3"/>
        <v>-6.9159990686684545E-3</v>
      </c>
    </row>
    <row r="76" spans="1:6" ht="15" customHeight="1" x14ac:dyDescent="0.2">
      <c r="A76" s="147">
        <v>15</v>
      </c>
      <c r="B76" s="160" t="s">
        <v>211</v>
      </c>
      <c r="C76" s="157">
        <v>528863</v>
      </c>
      <c r="D76" s="157">
        <v>325718</v>
      </c>
      <c r="E76" s="157">
        <f t="shared" si="2"/>
        <v>-203145</v>
      </c>
      <c r="F76" s="161">
        <f t="shared" si="3"/>
        <v>-0.38411649141649162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1267473</v>
      </c>
      <c r="D78" s="157">
        <v>1114261</v>
      </c>
      <c r="E78" s="157">
        <f t="shared" si="2"/>
        <v>-153212</v>
      </c>
      <c r="F78" s="161">
        <f t="shared" si="3"/>
        <v>-0.1208798925105308</v>
      </c>
    </row>
    <row r="79" spans="1:6" ht="15" customHeight="1" x14ac:dyDescent="0.2">
      <c r="A79" s="147">
        <v>18</v>
      </c>
      <c r="B79" s="160" t="s">
        <v>214</v>
      </c>
      <c r="C79" s="157">
        <v>96334</v>
      </c>
      <c r="D79" s="157">
        <v>86153</v>
      </c>
      <c r="E79" s="157">
        <f t="shared" si="2"/>
        <v>-10181</v>
      </c>
      <c r="F79" s="161">
        <f t="shared" si="3"/>
        <v>-0.10568438972740674</v>
      </c>
    </row>
    <row r="80" spans="1:6" ht="15" customHeight="1" x14ac:dyDescent="0.2">
      <c r="A80" s="147">
        <v>19</v>
      </c>
      <c r="B80" s="160" t="s">
        <v>215</v>
      </c>
      <c r="C80" s="157">
        <v>2491659</v>
      </c>
      <c r="D80" s="157">
        <v>2667586</v>
      </c>
      <c r="E80" s="157">
        <f t="shared" si="2"/>
        <v>175927</v>
      </c>
      <c r="F80" s="161">
        <f t="shared" si="3"/>
        <v>7.0606371096526455E-2</v>
      </c>
    </row>
    <row r="81" spans="1:6" ht="15" customHeight="1" x14ac:dyDescent="0.2">
      <c r="A81" s="147">
        <v>20</v>
      </c>
      <c r="B81" s="160" t="s">
        <v>216</v>
      </c>
      <c r="C81" s="157">
        <v>1344224</v>
      </c>
      <c r="D81" s="157">
        <v>1049538</v>
      </c>
      <c r="E81" s="157">
        <f t="shared" si="2"/>
        <v>-294686</v>
      </c>
      <c r="F81" s="161">
        <f t="shared" si="3"/>
        <v>-0.21922387935344109</v>
      </c>
    </row>
    <row r="82" spans="1:6" ht="15" customHeight="1" x14ac:dyDescent="0.2">
      <c r="A82" s="147">
        <v>21</v>
      </c>
      <c r="B82" s="160" t="s">
        <v>217</v>
      </c>
      <c r="C82" s="157">
        <v>712391</v>
      </c>
      <c r="D82" s="157">
        <v>648834</v>
      </c>
      <c r="E82" s="157">
        <f t="shared" si="2"/>
        <v>-63557</v>
      </c>
      <c r="F82" s="161">
        <f t="shared" si="3"/>
        <v>-8.9216455570045108E-2</v>
      </c>
    </row>
    <row r="83" spans="1:6" ht="15" customHeight="1" x14ac:dyDescent="0.2">
      <c r="A83" s="147">
        <v>22</v>
      </c>
      <c r="B83" s="160" t="s">
        <v>218</v>
      </c>
      <c r="C83" s="157">
        <v>198782</v>
      </c>
      <c r="D83" s="157">
        <v>129025</v>
      </c>
      <c r="E83" s="157">
        <f t="shared" si="2"/>
        <v>-69757</v>
      </c>
      <c r="F83" s="161">
        <f t="shared" si="3"/>
        <v>-0.3509221156845187</v>
      </c>
    </row>
    <row r="84" spans="1:6" ht="15" customHeight="1" x14ac:dyDescent="0.2">
      <c r="A84" s="147">
        <v>23</v>
      </c>
      <c r="B84" s="160" t="s">
        <v>219</v>
      </c>
      <c r="C84" s="157">
        <v>656082</v>
      </c>
      <c r="D84" s="157">
        <v>710731</v>
      </c>
      <c r="E84" s="157">
        <f t="shared" si="2"/>
        <v>54649</v>
      </c>
      <c r="F84" s="161">
        <f t="shared" si="3"/>
        <v>8.3295990440219361E-2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147074</v>
      </c>
      <c r="D86" s="157">
        <v>143168</v>
      </c>
      <c r="E86" s="157">
        <f t="shared" si="2"/>
        <v>-3906</v>
      </c>
      <c r="F86" s="161">
        <f t="shared" si="3"/>
        <v>-2.6558059208289703E-2</v>
      </c>
    </row>
    <row r="87" spans="1:6" ht="15" customHeight="1" x14ac:dyDescent="0.2">
      <c r="A87" s="147">
        <v>26</v>
      </c>
      <c r="B87" s="160" t="s">
        <v>222</v>
      </c>
      <c r="C87" s="157">
        <v>1256647</v>
      </c>
      <c r="D87" s="157">
        <v>1177906</v>
      </c>
      <c r="E87" s="157">
        <f t="shared" si="2"/>
        <v>-78741</v>
      </c>
      <c r="F87" s="161">
        <f t="shared" si="3"/>
        <v>-6.2659601304105292E-2</v>
      </c>
    </row>
    <row r="88" spans="1:6" ht="15" customHeight="1" x14ac:dyDescent="0.2">
      <c r="A88" s="147">
        <v>27</v>
      </c>
      <c r="B88" s="160" t="s">
        <v>223</v>
      </c>
      <c r="C88" s="157">
        <v>1398921</v>
      </c>
      <c r="D88" s="157">
        <v>1653668</v>
      </c>
      <c r="E88" s="157">
        <f t="shared" si="2"/>
        <v>254747</v>
      </c>
      <c r="F88" s="161">
        <f t="shared" si="3"/>
        <v>0.18210249184907512</v>
      </c>
    </row>
    <row r="89" spans="1:6" ht="15" customHeight="1" x14ac:dyDescent="0.2">
      <c r="A89" s="147">
        <v>28</v>
      </c>
      <c r="B89" s="160" t="s">
        <v>224</v>
      </c>
      <c r="C89" s="157">
        <v>1901904</v>
      </c>
      <c r="D89" s="157">
        <v>1614297</v>
      </c>
      <c r="E89" s="157">
        <f t="shared" si="2"/>
        <v>-287607</v>
      </c>
      <c r="F89" s="161">
        <f t="shared" si="3"/>
        <v>-0.15122056633773315</v>
      </c>
    </row>
    <row r="90" spans="1:6" ht="15.75" customHeight="1" x14ac:dyDescent="0.25">
      <c r="A90" s="147"/>
      <c r="B90" s="162" t="s">
        <v>225</v>
      </c>
      <c r="C90" s="158">
        <f>SUM(C62:C89)</f>
        <v>20356598</v>
      </c>
      <c r="D90" s="158">
        <f>SUM(D62:D89)</f>
        <v>21363090</v>
      </c>
      <c r="E90" s="158">
        <f t="shared" si="2"/>
        <v>1006492</v>
      </c>
      <c r="F90" s="159">
        <f t="shared" si="3"/>
        <v>4.9443035619212997E-2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6284063</v>
      </c>
      <c r="D93" s="157">
        <v>7583768</v>
      </c>
      <c r="E93" s="157">
        <f>+D93-C93</f>
        <v>1299705</v>
      </c>
      <c r="F93" s="161">
        <f>IF(C93=0,0,E93/C93)</f>
        <v>0.20682558402103862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141153441</v>
      </c>
      <c r="D95" s="158">
        <f>+D93+D90+D59+D50+D47+D44+D41+D35+D30+D24+D18</f>
        <v>150278225</v>
      </c>
      <c r="E95" s="158">
        <f>+D95-C95</f>
        <v>9124784</v>
      </c>
      <c r="F95" s="159">
        <f>IF(C95=0,0,E95/C95)</f>
        <v>6.4644431870421071E-2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3270573</v>
      </c>
      <c r="D103" s="157">
        <v>3865879</v>
      </c>
      <c r="E103" s="157">
        <f t="shared" ref="E103:E121" si="4">D103-C103</f>
        <v>595306</v>
      </c>
      <c r="F103" s="161">
        <f t="shared" ref="F103:F121" si="5">IF(C103=0,0,E103/C103)</f>
        <v>0.1820188694763884</v>
      </c>
    </row>
    <row r="104" spans="1:6" ht="15" customHeight="1" x14ac:dyDescent="0.2">
      <c r="A104" s="147">
        <v>2</v>
      </c>
      <c r="B104" s="169" t="s">
        <v>234</v>
      </c>
      <c r="C104" s="157">
        <v>1216522</v>
      </c>
      <c r="D104" s="157">
        <v>1181032</v>
      </c>
      <c r="E104" s="157">
        <f t="shared" si="4"/>
        <v>-35490</v>
      </c>
      <c r="F104" s="161">
        <f t="shared" si="5"/>
        <v>-2.9173331842745138E-2</v>
      </c>
    </row>
    <row r="105" spans="1:6" ht="15" customHeight="1" x14ac:dyDescent="0.2">
      <c r="A105" s="147">
        <v>3</v>
      </c>
      <c r="B105" s="169" t="s">
        <v>235</v>
      </c>
      <c r="C105" s="157">
        <v>1932419</v>
      </c>
      <c r="D105" s="157">
        <v>1758740</v>
      </c>
      <c r="E105" s="157">
        <f t="shared" si="4"/>
        <v>-173679</v>
      </c>
      <c r="F105" s="161">
        <f t="shared" si="5"/>
        <v>-8.9876470889594856E-2</v>
      </c>
    </row>
    <row r="106" spans="1:6" ht="15" customHeight="1" x14ac:dyDescent="0.2">
      <c r="A106" s="147">
        <v>4</v>
      </c>
      <c r="B106" s="169" t="s">
        <v>236</v>
      </c>
      <c r="C106" s="157">
        <v>981220</v>
      </c>
      <c r="D106" s="157">
        <v>1146291</v>
      </c>
      <c r="E106" s="157">
        <f t="shared" si="4"/>
        <v>165071</v>
      </c>
      <c r="F106" s="161">
        <f t="shared" si="5"/>
        <v>0.16823036627871427</v>
      </c>
    </row>
    <row r="107" spans="1:6" ht="15" customHeight="1" x14ac:dyDescent="0.2">
      <c r="A107" s="147">
        <v>5</v>
      </c>
      <c r="B107" s="169" t="s">
        <v>237</v>
      </c>
      <c r="C107" s="157">
        <v>2530598</v>
      </c>
      <c r="D107" s="157">
        <v>2687120</v>
      </c>
      <c r="E107" s="157">
        <f t="shared" si="4"/>
        <v>156522</v>
      </c>
      <c r="F107" s="161">
        <f t="shared" si="5"/>
        <v>6.1851783649556347E-2</v>
      </c>
    </row>
    <row r="108" spans="1:6" ht="15" customHeight="1" x14ac:dyDescent="0.2">
      <c r="A108" s="147">
        <v>6</v>
      </c>
      <c r="B108" s="169" t="s">
        <v>238</v>
      </c>
      <c r="C108" s="157">
        <v>64</v>
      </c>
      <c r="D108" s="157">
        <v>190</v>
      </c>
      <c r="E108" s="157">
        <f t="shared" si="4"/>
        <v>126</v>
      </c>
      <c r="F108" s="161">
        <f t="shared" si="5"/>
        <v>1.96875</v>
      </c>
    </row>
    <row r="109" spans="1:6" ht="15" customHeight="1" x14ac:dyDescent="0.2">
      <c r="A109" s="147">
        <v>7</v>
      </c>
      <c r="B109" s="169" t="s">
        <v>239</v>
      </c>
      <c r="C109" s="157">
        <v>1501774</v>
      </c>
      <c r="D109" s="157">
        <v>1605625</v>
      </c>
      <c r="E109" s="157">
        <f t="shared" si="4"/>
        <v>103851</v>
      </c>
      <c r="F109" s="161">
        <f t="shared" si="5"/>
        <v>6.9152215979235224E-2</v>
      </c>
    </row>
    <row r="110" spans="1:6" ht="15" customHeight="1" x14ac:dyDescent="0.2">
      <c r="A110" s="147">
        <v>8</v>
      </c>
      <c r="B110" s="169" t="s">
        <v>240</v>
      </c>
      <c r="C110" s="157">
        <v>1170733</v>
      </c>
      <c r="D110" s="157">
        <v>921432</v>
      </c>
      <c r="E110" s="157">
        <f t="shared" si="4"/>
        <v>-249301</v>
      </c>
      <c r="F110" s="161">
        <f t="shared" si="5"/>
        <v>-0.21294436904059252</v>
      </c>
    </row>
    <row r="111" spans="1:6" ht="15" customHeight="1" x14ac:dyDescent="0.2">
      <c r="A111" s="147">
        <v>9</v>
      </c>
      <c r="B111" s="169" t="s">
        <v>241</v>
      </c>
      <c r="C111" s="157">
        <v>552701</v>
      </c>
      <c r="D111" s="157">
        <v>1238665</v>
      </c>
      <c r="E111" s="157">
        <f t="shared" si="4"/>
        <v>685964</v>
      </c>
      <c r="F111" s="161">
        <f t="shared" si="5"/>
        <v>1.2411122831331949</v>
      </c>
    </row>
    <row r="112" spans="1:6" ht="15" customHeight="1" x14ac:dyDescent="0.2">
      <c r="A112" s="147">
        <v>10</v>
      </c>
      <c r="B112" s="169" t="s">
        <v>242</v>
      </c>
      <c r="C112" s="157">
        <v>4077345</v>
      </c>
      <c r="D112" s="157">
        <v>4305679</v>
      </c>
      <c r="E112" s="157">
        <f t="shared" si="4"/>
        <v>228334</v>
      </c>
      <c r="F112" s="161">
        <f t="shared" si="5"/>
        <v>5.6000657290467201E-2</v>
      </c>
    </row>
    <row r="113" spans="1:6" ht="15" customHeight="1" x14ac:dyDescent="0.2">
      <c r="A113" s="147">
        <v>11</v>
      </c>
      <c r="B113" s="169" t="s">
        <v>243</v>
      </c>
      <c r="C113" s="157">
        <v>2268657</v>
      </c>
      <c r="D113" s="157">
        <v>2352179</v>
      </c>
      <c r="E113" s="157">
        <f t="shared" si="4"/>
        <v>83522</v>
      </c>
      <c r="F113" s="161">
        <f t="shared" si="5"/>
        <v>3.6815613819100902E-2</v>
      </c>
    </row>
    <row r="114" spans="1:6" ht="15" customHeight="1" x14ac:dyDescent="0.2">
      <c r="A114" s="147">
        <v>12</v>
      </c>
      <c r="B114" s="169" t="s">
        <v>244</v>
      </c>
      <c r="C114" s="157">
        <v>489611</v>
      </c>
      <c r="D114" s="157">
        <v>495437</v>
      </c>
      <c r="E114" s="157">
        <f t="shared" si="4"/>
        <v>5826</v>
      </c>
      <c r="F114" s="161">
        <f t="shared" si="5"/>
        <v>1.1899242459830355E-2</v>
      </c>
    </row>
    <row r="115" spans="1:6" ht="15" customHeight="1" x14ac:dyDescent="0.2">
      <c r="A115" s="147">
        <v>13</v>
      </c>
      <c r="B115" s="169" t="s">
        <v>245</v>
      </c>
      <c r="C115" s="157">
        <v>5759110</v>
      </c>
      <c r="D115" s="157">
        <v>5487206</v>
      </c>
      <c r="E115" s="157">
        <f t="shared" si="4"/>
        <v>-271904</v>
      </c>
      <c r="F115" s="161">
        <f t="shared" si="5"/>
        <v>-4.7212850596706782E-2</v>
      </c>
    </row>
    <row r="116" spans="1:6" ht="15" customHeight="1" x14ac:dyDescent="0.2">
      <c r="A116" s="147">
        <v>14</v>
      </c>
      <c r="B116" s="169" t="s">
        <v>246</v>
      </c>
      <c r="C116" s="157">
        <v>526065</v>
      </c>
      <c r="D116" s="157">
        <v>585489</v>
      </c>
      <c r="E116" s="157">
        <f t="shared" si="4"/>
        <v>59424</v>
      </c>
      <c r="F116" s="161">
        <f t="shared" si="5"/>
        <v>0.11295942516609164</v>
      </c>
    </row>
    <row r="117" spans="1:6" ht="15" customHeight="1" x14ac:dyDescent="0.2">
      <c r="A117" s="147">
        <v>15</v>
      </c>
      <c r="B117" s="169" t="s">
        <v>203</v>
      </c>
      <c r="C117" s="157">
        <v>251115</v>
      </c>
      <c r="D117" s="157">
        <v>231314</v>
      </c>
      <c r="E117" s="157">
        <f t="shared" si="4"/>
        <v>-19801</v>
      </c>
      <c r="F117" s="161">
        <f t="shared" si="5"/>
        <v>-7.8852318658781839E-2</v>
      </c>
    </row>
    <row r="118" spans="1:6" ht="15" customHeight="1" x14ac:dyDescent="0.2">
      <c r="A118" s="147">
        <v>16</v>
      </c>
      <c r="B118" s="169" t="s">
        <v>247</v>
      </c>
      <c r="C118" s="157">
        <v>741190</v>
      </c>
      <c r="D118" s="157">
        <v>740769</v>
      </c>
      <c r="E118" s="157">
        <f t="shared" si="4"/>
        <v>-421</v>
      </c>
      <c r="F118" s="161">
        <f t="shared" si="5"/>
        <v>-5.6800550466142279E-4</v>
      </c>
    </row>
    <row r="119" spans="1:6" ht="15" customHeight="1" x14ac:dyDescent="0.2">
      <c r="A119" s="147">
        <v>17</v>
      </c>
      <c r="B119" s="169" t="s">
        <v>248</v>
      </c>
      <c r="C119" s="157">
        <v>10365757</v>
      </c>
      <c r="D119" s="157">
        <v>11368709</v>
      </c>
      <c r="E119" s="157">
        <f t="shared" si="4"/>
        <v>1002952</v>
      </c>
      <c r="F119" s="161">
        <f t="shared" si="5"/>
        <v>9.6756271635539987E-2</v>
      </c>
    </row>
    <row r="120" spans="1:6" ht="15" customHeight="1" x14ac:dyDescent="0.2">
      <c r="A120" s="147">
        <v>18</v>
      </c>
      <c r="B120" s="169" t="s">
        <v>249</v>
      </c>
      <c r="C120" s="157">
        <v>29334018</v>
      </c>
      <c r="D120" s="157">
        <v>30175042</v>
      </c>
      <c r="E120" s="157">
        <f t="shared" si="4"/>
        <v>841024</v>
      </c>
      <c r="F120" s="161">
        <f t="shared" si="5"/>
        <v>2.8670603529322169E-2</v>
      </c>
    </row>
    <row r="121" spans="1:6" ht="15.75" customHeight="1" x14ac:dyDescent="0.25">
      <c r="A121" s="147"/>
      <c r="B121" s="165" t="s">
        <v>250</v>
      </c>
      <c r="C121" s="158">
        <f>SUM(C103:C120)</f>
        <v>66969472</v>
      </c>
      <c r="D121" s="158">
        <f>SUM(D103:D120)</f>
        <v>70146798</v>
      </c>
      <c r="E121" s="158">
        <f t="shared" si="4"/>
        <v>3177326</v>
      </c>
      <c r="F121" s="159">
        <f t="shared" si="5"/>
        <v>4.7444393767954451E-2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924041</v>
      </c>
      <c r="D124" s="157">
        <v>950564</v>
      </c>
      <c r="E124" s="157">
        <f t="shared" ref="E124:E130" si="6">D124-C124</f>
        <v>26523</v>
      </c>
      <c r="F124" s="161">
        <f t="shared" ref="F124:F130" si="7">IF(C124=0,0,E124/C124)</f>
        <v>2.8703271824518609E-2</v>
      </c>
    </row>
    <row r="125" spans="1:6" ht="15" customHeight="1" x14ac:dyDescent="0.2">
      <c r="A125" s="147">
        <v>2</v>
      </c>
      <c r="B125" s="169" t="s">
        <v>253</v>
      </c>
      <c r="C125" s="157">
        <v>2977508</v>
      </c>
      <c r="D125" s="157">
        <v>3039782</v>
      </c>
      <c r="E125" s="157">
        <f t="shared" si="6"/>
        <v>62274</v>
      </c>
      <c r="F125" s="161">
        <f t="shared" si="7"/>
        <v>2.0914805266686102E-2</v>
      </c>
    </row>
    <row r="126" spans="1:6" ht="15" customHeight="1" x14ac:dyDescent="0.2">
      <c r="A126" s="147">
        <v>3</v>
      </c>
      <c r="B126" s="169" t="s">
        <v>254</v>
      </c>
      <c r="C126" s="157">
        <v>888585</v>
      </c>
      <c r="D126" s="157">
        <v>951562</v>
      </c>
      <c r="E126" s="157">
        <f t="shared" si="6"/>
        <v>62977</v>
      </c>
      <c r="F126" s="161">
        <f t="shared" si="7"/>
        <v>7.0873354828181884E-2</v>
      </c>
    </row>
    <row r="127" spans="1:6" ht="15" customHeight="1" x14ac:dyDescent="0.2">
      <c r="A127" s="147">
        <v>4</v>
      </c>
      <c r="B127" s="169" t="s">
        <v>255</v>
      </c>
      <c r="C127" s="157">
        <v>1718973</v>
      </c>
      <c r="D127" s="157">
        <v>1620938</v>
      </c>
      <c r="E127" s="157">
        <f t="shared" si="6"/>
        <v>-98035</v>
      </c>
      <c r="F127" s="161">
        <f t="shared" si="7"/>
        <v>-5.7031145922594478E-2</v>
      </c>
    </row>
    <row r="128" spans="1:6" ht="15" customHeight="1" x14ac:dyDescent="0.2">
      <c r="A128" s="147">
        <v>5</v>
      </c>
      <c r="B128" s="169" t="s">
        <v>256</v>
      </c>
      <c r="C128" s="157">
        <v>0</v>
      </c>
      <c r="D128" s="157">
        <v>0</v>
      </c>
      <c r="E128" s="157">
        <f t="shared" si="6"/>
        <v>0</v>
      </c>
      <c r="F128" s="161">
        <f t="shared" si="7"/>
        <v>0</v>
      </c>
    </row>
    <row r="129" spans="1:6" ht="15" customHeight="1" x14ac:dyDescent="0.2">
      <c r="A129" s="147">
        <v>6</v>
      </c>
      <c r="B129" s="169" t="s">
        <v>257</v>
      </c>
      <c r="C129" s="157">
        <v>2356617</v>
      </c>
      <c r="D129" s="157">
        <v>2563864</v>
      </c>
      <c r="E129" s="157">
        <f t="shared" si="6"/>
        <v>207247</v>
      </c>
      <c r="F129" s="161">
        <f t="shared" si="7"/>
        <v>8.7942588889072762E-2</v>
      </c>
    </row>
    <row r="130" spans="1:6" ht="15.75" customHeight="1" x14ac:dyDescent="0.25">
      <c r="A130" s="147"/>
      <c r="B130" s="165" t="s">
        <v>258</v>
      </c>
      <c r="C130" s="158">
        <f>SUM(C124:C129)</f>
        <v>8865724</v>
      </c>
      <c r="D130" s="158">
        <f>SUM(D124:D129)</f>
        <v>9126710</v>
      </c>
      <c r="E130" s="158">
        <f t="shared" si="6"/>
        <v>260986</v>
      </c>
      <c r="F130" s="159">
        <f t="shared" si="7"/>
        <v>2.9437640964234846E-2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10756979</v>
      </c>
      <c r="D133" s="157">
        <v>12662681</v>
      </c>
      <c r="E133" s="157">
        <f t="shared" ref="E133:E167" si="8">D133-C133</f>
        <v>1905702</v>
      </c>
      <c r="F133" s="161">
        <f t="shared" ref="F133:F167" si="9">IF(C133=0,0,E133/C133)</f>
        <v>0.17715959099669154</v>
      </c>
    </row>
    <row r="134" spans="1:6" ht="15" customHeight="1" x14ac:dyDescent="0.2">
      <c r="A134" s="147">
        <v>2</v>
      </c>
      <c r="B134" s="169" t="s">
        <v>261</v>
      </c>
      <c r="C134" s="157">
        <v>479846</v>
      </c>
      <c r="D134" s="157">
        <v>536033</v>
      </c>
      <c r="E134" s="157">
        <f t="shared" si="8"/>
        <v>56187</v>
      </c>
      <c r="F134" s="161">
        <f t="shared" si="9"/>
        <v>0.11709381759981327</v>
      </c>
    </row>
    <row r="135" spans="1:6" ht="15" customHeight="1" x14ac:dyDescent="0.2">
      <c r="A135" s="147">
        <v>3</v>
      </c>
      <c r="B135" s="169" t="s">
        <v>262</v>
      </c>
      <c r="C135" s="157">
        <v>629702</v>
      </c>
      <c r="D135" s="157">
        <v>684825</v>
      </c>
      <c r="E135" s="157">
        <f t="shared" si="8"/>
        <v>55123</v>
      </c>
      <c r="F135" s="161">
        <f t="shared" si="9"/>
        <v>8.7538232370232269E-2</v>
      </c>
    </row>
    <row r="136" spans="1:6" ht="15" customHeight="1" x14ac:dyDescent="0.2">
      <c r="A136" s="147">
        <v>4</v>
      </c>
      <c r="B136" s="169" t="s">
        <v>263</v>
      </c>
      <c r="C136" s="157">
        <v>70020</v>
      </c>
      <c r="D136" s="157">
        <v>87949</v>
      </c>
      <c r="E136" s="157">
        <f t="shared" si="8"/>
        <v>17929</v>
      </c>
      <c r="F136" s="161">
        <f t="shared" si="9"/>
        <v>0.25605541273921739</v>
      </c>
    </row>
    <row r="137" spans="1:6" ht="15" customHeight="1" x14ac:dyDescent="0.2">
      <c r="A137" s="147">
        <v>5</v>
      </c>
      <c r="B137" s="169" t="s">
        <v>264</v>
      </c>
      <c r="C137" s="157">
        <v>3607951</v>
      </c>
      <c r="D137" s="157">
        <v>3876271</v>
      </c>
      <c r="E137" s="157">
        <f t="shared" si="8"/>
        <v>268320</v>
      </c>
      <c r="F137" s="161">
        <f t="shared" si="9"/>
        <v>7.4369080954813413E-2</v>
      </c>
    </row>
    <row r="138" spans="1:6" ht="15" customHeight="1" x14ac:dyDescent="0.2">
      <c r="A138" s="147">
        <v>6</v>
      </c>
      <c r="B138" s="169" t="s">
        <v>265</v>
      </c>
      <c r="C138" s="157">
        <v>606195</v>
      </c>
      <c r="D138" s="157">
        <v>614216</v>
      </c>
      <c r="E138" s="157">
        <f t="shared" si="8"/>
        <v>8021</v>
      </c>
      <c r="F138" s="161">
        <f t="shared" si="9"/>
        <v>1.3231715867006491E-2</v>
      </c>
    </row>
    <row r="139" spans="1:6" ht="15" customHeight="1" x14ac:dyDescent="0.2">
      <c r="A139" s="147">
        <v>7</v>
      </c>
      <c r="B139" s="169" t="s">
        <v>266</v>
      </c>
      <c r="C139" s="157">
        <v>1517902</v>
      </c>
      <c r="D139" s="157">
        <v>1552181</v>
      </c>
      <c r="E139" s="157">
        <f t="shared" si="8"/>
        <v>34279</v>
      </c>
      <c r="F139" s="161">
        <f t="shared" si="9"/>
        <v>2.2583144366368844E-2</v>
      </c>
    </row>
    <row r="140" spans="1:6" ht="15" customHeight="1" x14ac:dyDescent="0.2">
      <c r="A140" s="147">
        <v>8</v>
      </c>
      <c r="B140" s="169" t="s">
        <v>267</v>
      </c>
      <c r="C140" s="157">
        <v>395274</v>
      </c>
      <c r="D140" s="157">
        <v>478706</v>
      </c>
      <c r="E140" s="157">
        <f t="shared" si="8"/>
        <v>83432</v>
      </c>
      <c r="F140" s="161">
        <f t="shared" si="9"/>
        <v>0.21107383738874805</v>
      </c>
    </row>
    <row r="141" spans="1:6" ht="15" customHeight="1" x14ac:dyDescent="0.2">
      <c r="A141" s="147">
        <v>9</v>
      </c>
      <c r="B141" s="169" t="s">
        <v>268</v>
      </c>
      <c r="C141" s="157">
        <v>922211</v>
      </c>
      <c r="D141" s="157">
        <v>1039322</v>
      </c>
      <c r="E141" s="157">
        <f t="shared" si="8"/>
        <v>117111</v>
      </c>
      <c r="F141" s="161">
        <f t="shared" si="9"/>
        <v>0.12698937661771548</v>
      </c>
    </row>
    <row r="142" spans="1:6" ht="15" customHeight="1" x14ac:dyDescent="0.2">
      <c r="A142" s="147">
        <v>10</v>
      </c>
      <c r="B142" s="169" t="s">
        <v>269</v>
      </c>
      <c r="C142" s="157">
        <v>7369342</v>
      </c>
      <c r="D142" s="157">
        <v>6883660</v>
      </c>
      <c r="E142" s="157">
        <f t="shared" si="8"/>
        <v>-485682</v>
      </c>
      <c r="F142" s="161">
        <f t="shared" si="9"/>
        <v>-6.5905748437241757E-2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776789</v>
      </c>
      <c r="D144" s="157">
        <v>805242</v>
      </c>
      <c r="E144" s="157">
        <f t="shared" si="8"/>
        <v>28453</v>
      </c>
      <c r="F144" s="161">
        <f t="shared" si="9"/>
        <v>3.6628994488850895E-2</v>
      </c>
    </row>
    <row r="145" spans="1:6" ht="15" customHeight="1" x14ac:dyDescent="0.2">
      <c r="A145" s="147">
        <v>13</v>
      </c>
      <c r="B145" s="169" t="s">
        <v>272</v>
      </c>
      <c r="C145" s="157">
        <v>0</v>
      </c>
      <c r="D145" s="157">
        <v>0</v>
      </c>
      <c r="E145" s="157">
        <f t="shared" si="8"/>
        <v>0</v>
      </c>
      <c r="F145" s="161">
        <f t="shared" si="9"/>
        <v>0</v>
      </c>
    </row>
    <row r="146" spans="1:6" ht="15" customHeight="1" x14ac:dyDescent="0.2">
      <c r="A146" s="147">
        <v>14</v>
      </c>
      <c r="B146" s="169" t="s">
        <v>273</v>
      </c>
      <c r="C146" s="157">
        <v>46223</v>
      </c>
      <c r="D146" s="157">
        <v>49578</v>
      </c>
      <c r="E146" s="157">
        <f t="shared" si="8"/>
        <v>3355</v>
      </c>
      <c r="F146" s="161">
        <f t="shared" si="9"/>
        <v>7.258291326828635E-2</v>
      </c>
    </row>
    <row r="147" spans="1:6" ht="15" customHeight="1" x14ac:dyDescent="0.2">
      <c r="A147" s="147">
        <v>15</v>
      </c>
      <c r="B147" s="169" t="s">
        <v>274</v>
      </c>
      <c r="C147" s="157">
        <v>1085472</v>
      </c>
      <c r="D147" s="157">
        <v>1257704</v>
      </c>
      <c r="E147" s="157">
        <f t="shared" si="8"/>
        <v>172232</v>
      </c>
      <c r="F147" s="161">
        <f t="shared" si="9"/>
        <v>0.15867014533769641</v>
      </c>
    </row>
    <row r="148" spans="1:6" ht="15" customHeight="1" x14ac:dyDescent="0.2">
      <c r="A148" s="147">
        <v>16</v>
      </c>
      <c r="B148" s="169" t="s">
        <v>275</v>
      </c>
      <c r="C148" s="157">
        <v>111943</v>
      </c>
      <c r="D148" s="157">
        <v>96141</v>
      </c>
      <c r="E148" s="157">
        <f t="shared" si="8"/>
        <v>-15802</v>
      </c>
      <c r="F148" s="161">
        <f t="shared" si="9"/>
        <v>-0.14116112664481031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976813</v>
      </c>
      <c r="D150" s="157">
        <v>995759</v>
      </c>
      <c r="E150" s="157">
        <f t="shared" si="8"/>
        <v>18946</v>
      </c>
      <c r="F150" s="161">
        <f t="shared" si="9"/>
        <v>1.939572876282359E-2</v>
      </c>
    </row>
    <row r="151" spans="1:6" ht="15" customHeight="1" x14ac:dyDescent="0.2">
      <c r="A151" s="147">
        <v>19</v>
      </c>
      <c r="B151" s="169" t="s">
        <v>278</v>
      </c>
      <c r="C151" s="157">
        <v>248388</v>
      </c>
      <c r="D151" s="157">
        <v>257271</v>
      </c>
      <c r="E151" s="157">
        <f t="shared" si="8"/>
        <v>8883</v>
      </c>
      <c r="F151" s="161">
        <f t="shared" si="9"/>
        <v>3.5762597226919178E-2</v>
      </c>
    </row>
    <row r="152" spans="1:6" ht="15" customHeight="1" x14ac:dyDescent="0.2">
      <c r="A152" s="147">
        <v>20</v>
      </c>
      <c r="B152" s="169" t="s">
        <v>279</v>
      </c>
      <c r="C152" s="157">
        <v>96958</v>
      </c>
      <c r="D152" s="157">
        <v>90962</v>
      </c>
      <c r="E152" s="157">
        <f t="shared" si="8"/>
        <v>-5996</v>
      </c>
      <c r="F152" s="161">
        <f t="shared" si="9"/>
        <v>-6.1841209595907505E-2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2779179</v>
      </c>
      <c r="D154" s="157">
        <v>3246833</v>
      </c>
      <c r="E154" s="157">
        <f t="shared" si="8"/>
        <v>467654</v>
      </c>
      <c r="F154" s="161">
        <f t="shared" si="9"/>
        <v>0.16827055759992429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5745689</v>
      </c>
      <c r="D156" s="157">
        <v>5749866</v>
      </c>
      <c r="E156" s="157">
        <f t="shared" si="8"/>
        <v>4177</v>
      </c>
      <c r="F156" s="161">
        <f t="shared" si="9"/>
        <v>7.2697982783265854E-4</v>
      </c>
    </row>
    <row r="157" spans="1:6" ht="15" customHeight="1" x14ac:dyDescent="0.2">
      <c r="A157" s="147">
        <v>25</v>
      </c>
      <c r="B157" s="169" t="s">
        <v>284</v>
      </c>
      <c r="C157" s="157">
        <v>1101532</v>
      </c>
      <c r="D157" s="157">
        <v>1146583</v>
      </c>
      <c r="E157" s="157">
        <f t="shared" si="8"/>
        <v>45051</v>
      </c>
      <c r="F157" s="161">
        <f t="shared" si="9"/>
        <v>4.0898494097311743E-2</v>
      </c>
    </row>
    <row r="158" spans="1:6" ht="15" customHeight="1" x14ac:dyDescent="0.2">
      <c r="A158" s="147">
        <v>26</v>
      </c>
      <c r="B158" s="169" t="s">
        <v>285</v>
      </c>
      <c r="C158" s="157">
        <v>212566</v>
      </c>
      <c r="D158" s="157">
        <v>263450</v>
      </c>
      <c r="E158" s="157">
        <f t="shared" si="8"/>
        <v>50884</v>
      </c>
      <c r="F158" s="161">
        <f t="shared" si="9"/>
        <v>0.23937976910700676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1195281</v>
      </c>
      <c r="D160" s="157">
        <v>1275871</v>
      </c>
      <c r="E160" s="157">
        <f t="shared" si="8"/>
        <v>80590</v>
      </c>
      <c r="F160" s="161">
        <f t="shared" si="9"/>
        <v>6.7423476153306211E-2</v>
      </c>
    </row>
    <row r="161" spans="1:6" ht="15" customHeight="1" x14ac:dyDescent="0.2">
      <c r="A161" s="147">
        <v>29</v>
      </c>
      <c r="B161" s="169" t="s">
        <v>288</v>
      </c>
      <c r="C161" s="157">
        <v>396573</v>
      </c>
      <c r="D161" s="157">
        <v>447044</v>
      </c>
      <c r="E161" s="157">
        <f t="shared" si="8"/>
        <v>50471</v>
      </c>
      <c r="F161" s="161">
        <f t="shared" si="9"/>
        <v>0.12726786745441571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1115113</v>
      </c>
      <c r="D164" s="157">
        <v>1139708</v>
      </c>
      <c r="E164" s="157">
        <f t="shared" si="8"/>
        <v>24595</v>
      </c>
      <c r="F164" s="161">
        <f t="shared" si="9"/>
        <v>2.2056060686226418E-2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1803728</v>
      </c>
      <c r="D166" s="157">
        <v>2304484</v>
      </c>
      <c r="E166" s="157">
        <f t="shared" si="8"/>
        <v>500756</v>
      </c>
      <c r="F166" s="161">
        <f t="shared" si="9"/>
        <v>0.27762279013243685</v>
      </c>
    </row>
    <row r="167" spans="1:6" ht="15.75" customHeight="1" x14ac:dyDescent="0.25">
      <c r="A167" s="147"/>
      <c r="B167" s="165" t="s">
        <v>294</v>
      </c>
      <c r="C167" s="158">
        <f>SUM(C133:C166)</f>
        <v>44047669</v>
      </c>
      <c r="D167" s="158">
        <f>SUM(D133:D166)</f>
        <v>47542340</v>
      </c>
      <c r="E167" s="158">
        <f t="shared" si="8"/>
        <v>3494671</v>
      </c>
      <c r="F167" s="159">
        <f t="shared" si="9"/>
        <v>7.933838678273758E-2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8362009</v>
      </c>
      <c r="D170" s="157">
        <v>8743228</v>
      </c>
      <c r="E170" s="157">
        <f t="shared" ref="E170:E183" si="10">D170-C170</f>
        <v>381219</v>
      </c>
      <c r="F170" s="161">
        <f t="shared" ref="F170:F183" si="11">IF(C170=0,0,E170/C170)</f>
        <v>4.5589403216380178E-2</v>
      </c>
    </row>
    <row r="171" spans="1:6" ht="15" customHeight="1" x14ac:dyDescent="0.2">
      <c r="A171" s="147">
        <v>2</v>
      </c>
      <c r="B171" s="169" t="s">
        <v>297</v>
      </c>
      <c r="C171" s="157">
        <v>2285122</v>
      </c>
      <c r="D171" s="157">
        <v>2405156</v>
      </c>
      <c r="E171" s="157">
        <f t="shared" si="10"/>
        <v>120034</v>
      </c>
      <c r="F171" s="161">
        <f t="shared" si="11"/>
        <v>5.2528486444049817E-2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1244887</v>
      </c>
      <c r="D173" s="157">
        <v>1232517</v>
      </c>
      <c r="E173" s="157">
        <f t="shared" si="10"/>
        <v>-12370</v>
      </c>
      <c r="F173" s="161">
        <f t="shared" si="11"/>
        <v>-9.9366448521030423E-3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1796623</v>
      </c>
      <c r="D175" s="157">
        <v>2126341</v>
      </c>
      <c r="E175" s="157">
        <f t="shared" si="10"/>
        <v>329718</v>
      </c>
      <c r="F175" s="161">
        <f t="shared" si="11"/>
        <v>0.18352097240211218</v>
      </c>
    </row>
    <row r="176" spans="1:6" ht="15" customHeight="1" x14ac:dyDescent="0.2">
      <c r="A176" s="147">
        <v>7</v>
      </c>
      <c r="B176" s="169" t="s">
        <v>302</v>
      </c>
      <c r="C176" s="157">
        <v>126127</v>
      </c>
      <c r="D176" s="157">
        <v>119337</v>
      </c>
      <c r="E176" s="157">
        <f t="shared" si="10"/>
        <v>-6790</v>
      </c>
      <c r="F176" s="161">
        <f t="shared" si="11"/>
        <v>-5.3834627002941476E-2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577567</v>
      </c>
      <c r="D179" s="157">
        <v>582265</v>
      </c>
      <c r="E179" s="157">
        <f t="shared" si="10"/>
        <v>4698</v>
      </c>
      <c r="F179" s="161">
        <f t="shared" si="11"/>
        <v>8.1341212361509575E-3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365166</v>
      </c>
      <c r="D181" s="157">
        <v>325727</v>
      </c>
      <c r="E181" s="157">
        <f t="shared" si="10"/>
        <v>-39439</v>
      </c>
      <c r="F181" s="161">
        <f t="shared" si="11"/>
        <v>-0.1080029356511833</v>
      </c>
    </row>
    <row r="182" spans="1:6" ht="15" customHeight="1" x14ac:dyDescent="0.2">
      <c r="A182" s="147">
        <v>13</v>
      </c>
      <c r="B182" s="169" t="s">
        <v>308</v>
      </c>
      <c r="C182" s="157">
        <v>229019</v>
      </c>
      <c r="D182" s="157">
        <v>344034</v>
      </c>
      <c r="E182" s="157">
        <f t="shared" si="10"/>
        <v>115015</v>
      </c>
      <c r="F182" s="161">
        <f t="shared" si="11"/>
        <v>0.50220724044729914</v>
      </c>
    </row>
    <row r="183" spans="1:6" ht="15.75" customHeight="1" x14ac:dyDescent="0.25">
      <c r="A183" s="147"/>
      <c r="B183" s="165" t="s">
        <v>309</v>
      </c>
      <c r="C183" s="158">
        <f>SUM(C170:C182)</f>
        <v>14986520</v>
      </c>
      <c r="D183" s="158">
        <f>SUM(D170:D182)</f>
        <v>15878605</v>
      </c>
      <c r="E183" s="158">
        <f t="shared" si="10"/>
        <v>892085</v>
      </c>
      <c r="F183" s="159">
        <f t="shared" si="11"/>
        <v>5.952582721005277E-2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6284056</v>
      </c>
      <c r="D186" s="157">
        <v>7583772</v>
      </c>
      <c r="E186" s="157">
        <f>D186-C186</f>
        <v>1299716</v>
      </c>
      <c r="F186" s="161">
        <f>IF(C186=0,0,E186/C186)</f>
        <v>0.20682756487211446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141153441</v>
      </c>
      <c r="D188" s="158">
        <f>+D186+D183+D167+D130+D121</f>
        <v>150278225</v>
      </c>
      <c r="E188" s="158">
        <f>D188-C188</f>
        <v>9124784</v>
      </c>
      <c r="F188" s="159">
        <f>IF(C188=0,0,E188/C188)</f>
        <v>6.4644431870421071E-2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75" bottom="0.75" header="0.3" footer="0.3"/>
  <pageSetup scale="74" fitToHeight="0" orientation="portrait" r:id="rId1"/>
  <headerFooter>
    <oddHeader>&amp;LOFFICE OF HEALTH CARE ACCESS&amp;CTWELVE MONTHS ACTUAL FILING&amp;RGRIFFIN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topLeftCell="A21"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73.140625" style="70" bestFit="1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135897993</v>
      </c>
      <c r="D11" s="183">
        <v>142949359</v>
      </c>
      <c r="E11" s="76">
        <v>159014625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3270624</v>
      </c>
      <c r="D12" s="185">
        <v>5691910</v>
      </c>
      <c r="E12" s="185">
        <v>9094649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139168617</v>
      </c>
      <c r="D13" s="76">
        <f>+D11+D12</f>
        <v>148641269</v>
      </c>
      <c r="E13" s="76">
        <f>+E11+E12</f>
        <v>168109274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130275487</v>
      </c>
      <c r="D14" s="185">
        <v>141153441</v>
      </c>
      <c r="E14" s="185">
        <v>150278225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8893130</v>
      </c>
      <c r="D15" s="76">
        <f>+D13-D14</f>
        <v>7487828</v>
      </c>
      <c r="E15" s="76">
        <f>+E13-E14</f>
        <v>17831049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-1059000</v>
      </c>
      <c r="D16" s="185">
        <v>-2396689</v>
      </c>
      <c r="E16" s="185">
        <v>-2037603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7834130</v>
      </c>
      <c r="D17" s="76">
        <f>D15+D16</f>
        <v>5091139</v>
      </c>
      <c r="E17" s="76">
        <f>E15+E16</f>
        <v>15793446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6.4391822909768845E-2</v>
      </c>
      <c r="D20" s="189">
        <f>IF(+D27=0,0,+D24/+D27)</f>
        <v>5.1200721421607559E-2</v>
      </c>
      <c r="E20" s="189">
        <f>IF(+E27=0,0,+E24/+E27)</f>
        <v>0.10736960068282808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-7.6678222922014188E-3</v>
      </c>
      <c r="D21" s="189">
        <f>IF(D27=0,0,+D26/D27)</f>
        <v>-1.6388224438813392E-2</v>
      </c>
      <c r="E21" s="189">
        <f>IF(E27=0,0,+E26/E27)</f>
        <v>-1.226941950864094E-2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5.6724000617567424E-2</v>
      </c>
      <c r="D22" s="189">
        <f>IF(D27=0,0,+D28/D27)</f>
        <v>3.4812496982794164E-2</v>
      </c>
      <c r="E22" s="189">
        <f>IF(E27=0,0,+E28/E27)</f>
        <v>9.5100181174187143E-2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8893130</v>
      </c>
      <c r="D24" s="76">
        <f>+D15</f>
        <v>7487828</v>
      </c>
      <c r="E24" s="76">
        <f>+E15</f>
        <v>17831049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139168617</v>
      </c>
      <c r="D25" s="76">
        <f>+D13</f>
        <v>148641269</v>
      </c>
      <c r="E25" s="76">
        <f>+E13</f>
        <v>168109274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-1059000</v>
      </c>
      <c r="D26" s="76">
        <f>+D16</f>
        <v>-2396689</v>
      </c>
      <c r="E26" s="76">
        <f>+E16</f>
        <v>-2037603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138109617</v>
      </c>
      <c r="D27" s="76">
        <f>+D25+D26</f>
        <v>146244580</v>
      </c>
      <c r="E27" s="76">
        <f>+E25+E26</f>
        <v>166071671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7834130</v>
      </c>
      <c r="D28" s="76">
        <f>+D17</f>
        <v>5091139</v>
      </c>
      <c r="E28" s="76">
        <f>+E17</f>
        <v>15793446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-26106535</v>
      </c>
      <c r="D31" s="76">
        <v>-39254442</v>
      </c>
      <c r="E31" s="76">
        <v>-38610232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-16666559</v>
      </c>
      <c r="D32" s="76">
        <v>-29576383</v>
      </c>
      <c r="E32" s="76">
        <v>-30135488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-2959384</v>
      </c>
      <c r="D33" s="76">
        <f>+D32-C32</f>
        <v>-12909824</v>
      </c>
      <c r="E33" s="76">
        <f>+E32-D32</f>
        <v>-559105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1.2159</v>
      </c>
      <c r="D34" s="193">
        <f>IF(C32=0,0,+D33/C32)</f>
        <v>0.77459444388010745</v>
      </c>
      <c r="E34" s="193">
        <f>IF(D32=0,0,+E33/D32)</f>
        <v>1.8903765210235478E-2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0.26795202434586024</v>
      </c>
      <c r="D38" s="195">
        <f>IF((D40+D41)=0,0,+D39/(D40+D41))</f>
        <v>0.272759459192569</v>
      </c>
      <c r="E38" s="195">
        <f>IF((E40+E41)=0,0,+E39/(E40+E41))</f>
        <v>0.26791884143963857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130275487</v>
      </c>
      <c r="D39" s="76">
        <v>141153441</v>
      </c>
      <c r="E39" s="196">
        <v>150278225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482918974</v>
      </c>
      <c r="D40" s="76">
        <v>511809633</v>
      </c>
      <c r="E40" s="196">
        <v>552238244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3270624</v>
      </c>
      <c r="D41" s="76">
        <v>5691910</v>
      </c>
      <c r="E41" s="196">
        <v>8671262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1.394746637045575</v>
      </c>
      <c r="D43" s="197">
        <f>IF(D38=0,0,IF((D46-D47)=0,0,((+D44-D45)/(D46-D47)/D38)))</f>
        <v>1.4302925305565732</v>
      </c>
      <c r="E43" s="197">
        <f>IF(E38=0,0,IF((E46-E47)=0,0,((+E44-E45)/(E46-E47)/E38)))</f>
        <v>1.4711490665580469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67118452</v>
      </c>
      <c r="D44" s="76">
        <v>68513498</v>
      </c>
      <c r="E44" s="196">
        <v>76155645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817320</v>
      </c>
      <c r="D45" s="76">
        <v>340041</v>
      </c>
      <c r="E45" s="196">
        <v>306894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181677769</v>
      </c>
      <c r="D46" s="76">
        <v>177605406</v>
      </c>
      <c r="E46" s="196">
        <v>195524502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4271657</v>
      </c>
      <c r="D47" s="76">
        <v>2858045</v>
      </c>
      <c r="E47" s="76">
        <v>3087538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0.95037839007329894</v>
      </c>
      <c r="D49" s="198">
        <f>IF(D38=0,0,IF(D51=0,0,(D50/D51)/D38))</f>
        <v>0.88926850658145917</v>
      </c>
      <c r="E49" s="198">
        <f>IF(E38=0,0,IF(E51=0,0,(E50/E51)/E38))</f>
        <v>0.96358538860350007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53617301</v>
      </c>
      <c r="D50" s="199">
        <v>55073071</v>
      </c>
      <c r="E50" s="199">
        <v>62102736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210548113</v>
      </c>
      <c r="D51" s="199">
        <v>227052643</v>
      </c>
      <c r="E51" s="199">
        <v>240556597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0.75273926345778397</v>
      </c>
      <c r="D53" s="198">
        <f>IF(D38=0,0,IF(D55=0,0,(D54/D55)/D38))</f>
        <v>0.70053800212596051</v>
      </c>
      <c r="E53" s="198">
        <f>IF(E38=0,0,IF(E55=0,0,(E54/E55)/E38))</f>
        <v>0.70889540089087399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18203346</v>
      </c>
      <c r="D54" s="199">
        <v>20366801</v>
      </c>
      <c r="E54" s="199">
        <v>21955881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90250499</v>
      </c>
      <c r="D55" s="199">
        <v>106588733</v>
      </c>
      <c r="E55" s="199">
        <v>115602028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1296762.9321906185</v>
      </c>
      <c r="D57" s="88">
        <f>+D60*D38</f>
        <v>1338322.926271555</v>
      </c>
      <c r="E57" s="88">
        <f>+E60*E38</f>
        <v>1515800.4104304216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3784978</v>
      </c>
      <c r="D58" s="199">
        <v>3122499</v>
      </c>
      <c r="E58" s="199">
        <v>3734054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1054556</v>
      </c>
      <c r="D59" s="199">
        <v>1784106</v>
      </c>
      <c r="E59" s="199">
        <v>1923631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4839534</v>
      </c>
      <c r="D60" s="76">
        <v>4906605</v>
      </c>
      <c r="E60" s="201">
        <v>5657685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9.9540056387631727E-3</v>
      </c>
      <c r="D62" s="202">
        <f>IF(D63=0,0,+D57/D63)</f>
        <v>9.4813340488919071E-3</v>
      </c>
      <c r="E62" s="202">
        <f>IF(E63=0,0,+E57/E63)</f>
        <v>1.0086627057449086E-2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130275487</v>
      </c>
      <c r="D63" s="199">
        <v>141153441</v>
      </c>
      <c r="E63" s="199">
        <v>150278225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1.0844109388106191</v>
      </c>
      <c r="D67" s="203">
        <f>IF(D69=0,0,D68/D69)</f>
        <v>1.0355604404230294</v>
      </c>
      <c r="E67" s="203">
        <f>IF(E69=0,0,E68/E69)</f>
        <v>1.1105871964521172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33998532</v>
      </c>
      <c r="D68" s="204">
        <v>33245301</v>
      </c>
      <c r="E68" s="204">
        <v>33359786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31352074</v>
      </c>
      <c r="D69" s="204">
        <v>32103680</v>
      </c>
      <c r="E69" s="204">
        <v>30037971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45.594634094374157</v>
      </c>
      <c r="D71" s="203">
        <f>IF((D77/365)=0,0,+D74/(D77/365))</f>
        <v>39.145854076032904</v>
      </c>
      <c r="E71" s="203">
        <f>IF((E77/365)=0,0,+E74/(E77/365))</f>
        <v>40.720401407053096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7492599</v>
      </c>
      <c r="D72" s="183">
        <v>6748148</v>
      </c>
      <c r="E72" s="183">
        <v>8419689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8062643</v>
      </c>
      <c r="D73" s="206">
        <v>7914147</v>
      </c>
      <c r="E73" s="206">
        <v>7871187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15555242</v>
      </c>
      <c r="D74" s="204">
        <f>+D72+D73</f>
        <v>14662295</v>
      </c>
      <c r="E74" s="204">
        <f>+E72+E73</f>
        <v>16290876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130275487</v>
      </c>
      <c r="D75" s="204">
        <f>+D14</f>
        <v>141153441</v>
      </c>
      <c r="E75" s="204">
        <f>+E14</f>
        <v>150278225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5750673</v>
      </c>
      <c r="D76" s="204">
        <v>4440683</v>
      </c>
      <c r="E76" s="204">
        <v>4253885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124524814</v>
      </c>
      <c r="D77" s="204">
        <f>+D75-D76</f>
        <v>136712758</v>
      </c>
      <c r="E77" s="204">
        <f>+E75-E76</f>
        <v>146024340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33.979055489068188</v>
      </c>
      <c r="D79" s="203">
        <f>IF((D84/365)=0,0,+D83/(D84/365))</f>
        <v>30.935914794833042</v>
      </c>
      <c r="E79" s="203">
        <f>IF((E84/365)=0,0,+E83/(E84/365))</f>
        <v>29.962915266441687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12651193</v>
      </c>
      <c r="D80" s="212">
        <v>13268952</v>
      </c>
      <c r="E80" s="212">
        <v>13410622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0</v>
      </c>
      <c r="D82" s="212">
        <v>1153146</v>
      </c>
      <c r="E82" s="212">
        <v>357083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12651193</v>
      </c>
      <c r="D83" s="212">
        <f>+D80+D81-D82</f>
        <v>12115806</v>
      </c>
      <c r="E83" s="212">
        <f>+E80+E81-E82</f>
        <v>13053539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135897993</v>
      </c>
      <c r="D84" s="204">
        <f>+D11</f>
        <v>142949359</v>
      </c>
      <c r="E84" s="204">
        <f>+E11</f>
        <v>159014625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91.897402954562949</v>
      </c>
      <c r="D86" s="203">
        <f>IF((D90/365)=0,0,+D87/(D90/365))</f>
        <v>85.711409611091312</v>
      </c>
      <c r="E86" s="203">
        <f>IF((E90/365)=0,0,+E87/(E90/365))</f>
        <v>75.082410336523353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31352074</v>
      </c>
      <c r="D87" s="76">
        <f>+D69</f>
        <v>32103680</v>
      </c>
      <c r="E87" s="76">
        <f>+E69</f>
        <v>30037971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130275487</v>
      </c>
      <c r="D88" s="76">
        <f t="shared" si="0"/>
        <v>141153441</v>
      </c>
      <c r="E88" s="76">
        <f t="shared" si="0"/>
        <v>150278225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5750673</v>
      </c>
      <c r="D89" s="201">
        <f t="shared" si="0"/>
        <v>4440683</v>
      </c>
      <c r="E89" s="201">
        <f t="shared" si="0"/>
        <v>4253885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124524814</v>
      </c>
      <c r="D90" s="76">
        <f>+D88-D89</f>
        <v>136712758</v>
      </c>
      <c r="E90" s="76">
        <f>+E88-E89</f>
        <v>146024340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-13.994331939877913</v>
      </c>
      <c r="D94" s="214">
        <f>IF(D96=0,0,(D95/D96)*100)</f>
        <v>-25.511613313746505</v>
      </c>
      <c r="E94" s="214">
        <f>IF(E96=0,0,(E95/E96)*100)</f>
        <v>-25.730600611055792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-16666559</v>
      </c>
      <c r="D95" s="76">
        <f>+D32</f>
        <v>-29576383</v>
      </c>
      <c r="E95" s="76">
        <f>+E32</f>
        <v>-30135488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119095067</v>
      </c>
      <c r="D96" s="76">
        <v>115933017</v>
      </c>
      <c r="E96" s="76">
        <v>117119256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18.421918302645331</v>
      </c>
      <c r="D98" s="214">
        <f>IF(D104=0,0,(D101/D104)*100)</f>
        <v>13.01015834990549</v>
      </c>
      <c r="E98" s="214">
        <f>IF(E104=0,0,(E101/E104)*100)</f>
        <v>29.405044864284761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7834130</v>
      </c>
      <c r="D99" s="76">
        <f>+D28</f>
        <v>5091139</v>
      </c>
      <c r="E99" s="76">
        <f>+E28</f>
        <v>15793446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5750673</v>
      </c>
      <c r="D100" s="201">
        <f>+D76</f>
        <v>4440683</v>
      </c>
      <c r="E100" s="201">
        <f>+E76</f>
        <v>4253885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13584803</v>
      </c>
      <c r="D101" s="76">
        <f>+D99+D100</f>
        <v>9531822</v>
      </c>
      <c r="E101" s="76">
        <f>+E99+E100</f>
        <v>20047331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31352074</v>
      </c>
      <c r="D102" s="204">
        <f>+D69</f>
        <v>32103680</v>
      </c>
      <c r="E102" s="204">
        <f>+E69</f>
        <v>30037971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42390534</v>
      </c>
      <c r="D103" s="216">
        <v>41160778</v>
      </c>
      <c r="E103" s="216">
        <v>38138531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73742608</v>
      </c>
      <c r="D104" s="204">
        <f>+D102+D103</f>
        <v>73264458</v>
      </c>
      <c r="E104" s="204">
        <f>+E102+E103</f>
        <v>68176502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164.78998288561547</v>
      </c>
      <c r="D106" s="214">
        <f>IF(D109=0,0,(D107/D109)*100)</f>
        <v>355.31228001117017</v>
      </c>
      <c r="E106" s="214">
        <f>IF(E109=0,0,(E107/E109)*100)</f>
        <v>476.55036965314315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42390534</v>
      </c>
      <c r="D107" s="204">
        <f>+D103</f>
        <v>41160778</v>
      </c>
      <c r="E107" s="204">
        <f>+E103</f>
        <v>38138531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-16666559</v>
      </c>
      <c r="D108" s="204">
        <f>+D32</f>
        <v>-29576383</v>
      </c>
      <c r="E108" s="204">
        <f>+E32</f>
        <v>-30135488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25723975</v>
      </c>
      <c r="D109" s="204">
        <f>+D107+D108</f>
        <v>11584395</v>
      </c>
      <c r="E109" s="204">
        <f>+E107+E108</f>
        <v>8003043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3.0722507162804322</v>
      </c>
      <c r="D111" s="214">
        <f>IF((+D113+D115)=0,0,((+D112+D113+D114)/(+D113+D115)))</f>
        <v>2.6532552026720797</v>
      </c>
      <c r="E111" s="214">
        <f>IF((+E113+E115)=0,0,((+E112+E113+E114)/(+E113+E115)))</f>
        <v>4.9344394013766255</v>
      </c>
    </row>
    <row r="112" spans="1:6" ht="24" customHeight="1" x14ac:dyDescent="0.2">
      <c r="A112" s="85">
        <v>16</v>
      </c>
      <c r="B112" s="75" t="s">
        <v>373</v>
      </c>
      <c r="C112" s="218">
        <f>+C17</f>
        <v>7834130</v>
      </c>
      <c r="D112" s="76">
        <f>+D17</f>
        <v>5091139</v>
      </c>
      <c r="E112" s="76">
        <f>+E17</f>
        <v>15793446</v>
      </c>
    </row>
    <row r="113" spans="1:8" ht="24" customHeight="1" x14ac:dyDescent="0.2">
      <c r="A113" s="85">
        <v>17</v>
      </c>
      <c r="B113" s="75" t="s">
        <v>88</v>
      </c>
      <c r="C113" s="218">
        <v>3531142</v>
      </c>
      <c r="D113" s="76">
        <v>2123883</v>
      </c>
      <c r="E113" s="76">
        <v>2128918</v>
      </c>
    </row>
    <row r="114" spans="1:8" ht="24" customHeight="1" x14ac:dyDescent="0.2">
      <c r="A114" s="85">
        <v>18</v>
      </c>
      <c r="B114" s="75" t="s">
        <v>374</v>
      </c>
      <c r="C114" s="218">
        <v>5750673</v>
      </c>
      <c r="D114" s="76">
        <v>4440683</v>
      </c>
      <c r="E114" s="76">
        <v>4253885</v>
      </c>
    </row>
    <row r="115" spans="1:8" ht="24" customHeight="1" x14ac:dyDescent="0.2">
      <c r="A115" s="85">
        <v>19</v>
      </c>
      <c r="B115" s="75" t="s">
        <v>104</v>
      </c>
      <c r="C115" s="218">
        <v>2040000</v>
      </c>
      <c r="D115" s="76">
        <v>2269100</v>
      </c>
      <c r="E115" s="76">
        <v>2365260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17.209894215859606</v>
      </c>
      <c r="D119" s="214">
        <f>IF(+D121=0,0,(+D120)/(+D121))</f>
        <v>22.843528799511247</v>
      </c>
      <c r="E119" s="214">
        <f>IF(+E121=0,0,(+E120)/(+E121))</f>
        <v>24.130540905548692</v>
      </c>
    </row>
    <row r="120" spans="1:8" ht="24" customHeight="1" x14ac:dyDescent="0.2">
      <c r="A120" s="85">
        <v>21</v>
      </c>
      <c r="B120" s="75" t="s">
        <v>378</v>
      </c>
      <c r="C120" s="218">
        <v>98968474</v>
      </c>
      <c r="D120" s="218">
        <v>101440870</v>
      </c>
      <c r="E120" s="218">
        <v>102648546</v>
      </c>
    </row>
    <row r="121" spans="1:8" ht="24" customHeight="1" x14ac:dyDescent="0.2">
      <c r="A121" s="85">
        <v>22</v>
      </c>
      <c r="B121" s="75" t="s">
        <v>374</v>
      </c>
      <c r="C121" s="218">
        <v>5750673</v>
      </c>
      <c r="D121" s="218">
        <v>4440683</v>
      </c>
      <c r="E121" s="218">
        <v>4253885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30806</v>
      </c>
      <c r="D124" s="218">
        <v>30594</v>
      </c>
      <c r="E124" s="218">
        <v>31732</v>
      </c>
    </row>
    <row r="125" spans="1:8" ht="24" customHeight="1" x14ac:dyDescent="0.2">
      <c r="A125" s="85">
        <v>2</v>
      </c>
      <c r="B125" s="75" t="s">
        <v>381</v>
      </c>
      <c r="C125" s="218">
        <v>6935</v>
      </c>
      <c r="D125" s="218">
        <v>6950</v>
      </c>
      <c r="E125" s="218">
        <v>7597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4.4421052631578943</v>
      </c>
      <c r="D126" s="219">
        <f>IF(D125=0,0,D124/D125)</f>
        <v>4.4020143884892082</v>
      </c>
      <c r="E126" s="219">
        <f>IF(E125=0,0,E124/E125)</f>
        <v>4.1769119389232587</v>
      </c>
    </row>
    <row r="127" spans="1:8" ht="24" customHeight="1" x14ac:dyDescent="0.2">
      <c r="A127" s="85">
        <v>4</v>
      </c>
      <c r="B127" s="75" t="s">
        <v>383</v>
      </c>
      <c r="C127" s="218">
        <v>86</v>
      </c>
      <c r="D127" s="218">
        <v>86</v>
      </c>
      <c r="E127" s="218">
        <v>89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180</v>
      </c>
      <c r="E128" s="218">
        <v>180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180</v>
      </c>
      <c r="D129" s="218">
        <v>180</v>
      </c>
      <c r="E129" s="218">
        <v>180</v>
      </c>
    </row>
    <row r="130" spans="1:7" ht="24" customHeight="1" x14ac:dyDescent="0.2">
      <c r="A130" s="85">
        <v>7</v>
      </c>
      <c r="B130" s="75" t="s">
        <v>386</v>
      </c>
      <c r="C130" s="193">
        <v>0.98129999999999995</v>
      </c>
      <c r="D130" s="193">
        <v>0.97460000000000002</v>
      </c>
      <c r="E130" s="193">
        <v>0.9768</v>
      </c>
    </row>
    <row r="131" spans="1:7" ht="24" customHeight="1" x14ac:dyDescent="0.2">
      <c r="A131" s="85">
        <v>8</v>
      </c>
      <c r="B131" s="75" t="s">
        <v>387</v>
      </c>
      <c r="C131" s="193">
        <v>0.46879999999999999</v>
      </c>
      <c r="D131" s="193">
        <v>0.46560000000000001</v>
      </c>
      <c r="E131" s="193">
        <v>0.4829</v>
      </c>
    </row>
    <row r="132" spans="1:7" ht="24" customHeight="1" x14ac:dyDescent="0.2">
      <c r="A132" s="85">
        <v>9</v>
      </c>
      <c r="B132" s="75" t="s">
        <v>388</v>
      </c>
      <c r="C132" s="219">
        <v>924.2</v>
      </c>
      <c r="D132" s="219">
        <v>968.5</v>
      </c>
      <c r="E132" s="219">
        <v>983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0.36736206600157317</v>
      </c>
      <c r="D135" s="227">
        <f>IF(D149=0,0,D143/D149)</f>
        <v>0.34143038687198762</v>
      </c>
      <c r="E135" s="227">
        <f>IF(E149=0,0,E143/E149)</f>
        <v>0.34846728941865895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0.43599055811793386</v>
      </c>
      <c r="D136" s="227">
        <f>IF(D149=0,0,D144/D149)</f>
        <v>0.44362713860838959</v>
      </c>
      <c r="E136" s="227">
        <f>IF(E149=0,0,E144/E149)</f>
        <v>0.43560292973841919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0.18688538628428378</v>
      </c>
      <c r="D137" s="227">
        <f>IF(D149=0,0,D145/D149)</f>
        <v>0.20825855186668596</v>
      </c>
      <c r="E137" s="227">
        <f>IF(E149=0,0,E145/E149)</f>
        <v>0.20933361507646689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8.8454942339871705E-3</v>
      </c>
      <c r="D139" s="227">
        <f>IF(D149=0,0,D147/D149)</f>
        <v>5.5841954033717849E-3</v>
      </c>
      <c r="E139" s="227">
        <f>IF(E149=0,0,E147/E149)</f>
        <v>5.590952878663724E-3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9.1649536222198637E-4</v>
      </c>
      <c r="D140" s="227">
        <f>IF(D149=0,0,D148/D149)</f>
        <v>1.0997272495650741E-3</v>
      </c>
      <c r="E140" s="227">
        <f>IF(E149=0,0,E148/E149)</f>
        <v>1.0052128877912339E-3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1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177406112</v>
      </c>
      <c r="D143" s="229">
        <f>+D46-D147</f>
        <v>174747361</v>
      </c>
      <c r="E143" s="229">
        <f>+E46-E147</f>
        <v>192436964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210548113</v>
      </c>
      <c r="D144" s="229">
        <f>+D51</f>
        <v>227052643</v>
      </c>
      <c r="E144" s="229">
        <f>+E51</f>
        <v>240556597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90250499</v>
      </c>
      <c r="D145" s="229">
        <f>+D55</f>
        <v>106588733</v>
      </c>
      <c r="E145" s="229">
        <f>+E55</f>
        <v>115602028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4271657</v>
      </c>
      <c r="D147" s="229">
        <f>+D47</f>
        <v>2858045</v>
      </c>
      <c r="E147" s="229">
        <f>+E47</f>
        <v>3087538</v>
      </c>
    </row>
    <row r="148" spans="1:7" ht="20.100000000000001" customHeight="1" x14ac:dyDescent="0.2">
      <c r="A148" s="226">
        <v>13</v>
      </c>
      <c r="B148" s="224" t="s">
        <v>402</v>
      </c>
      <c r="C148" s="230">
        <v>442593</v>
      </c>
      <c r="D148" s="229">
        <v>562851</v>
      </c>
      <c r="E148" s="229">
        <v>555117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482918974</v>
      </c>
      <c r="D149" s="229">
        <f>SUM(D143:D148)</f>
        <v>511809633</v>
      </c>
      <c r="E149" s="229">
        <f>SUM(E143:E148)</f>
        <v>552238244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0.47681465403185502</v>
      </c>
      <c r="D152" s="227">
        <f>IF(D166=0,0,D160/D166)</f>
        <v>0.47332753385496701</v>
      </c>
      <c r="E152" s="227">
        <f>IF(E166=0,0,E160/E166)</f>
        <v>0.47178605448242728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0.38559695823046936</v>
      </c>
      <c r="D153" s="227">
        <f>IF(D166=0,0,D161/D166)</f>
        <v>0.38237170337789239</v>
      </c>
      <c r="E153" s="227">
        <f>IF(E166=0,0,E161/E166)</f>
        <v>0.38628460460744829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0.13091212568153665</v>
      </c>
      <c r="D154" s="227">
        <f>IF(D166=0,0,D162/D166)</f>
        <v>0.14140646688703018</v>
      </c>
      <c r="E154" s="227">
        <f>IF(E166=0,0,E162/E166)</f>
        <v>0.1365675549446515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5.8778808336683568E-3</v>
      </c>
      <c r="D156" s="227">
        <f>IF(D166=0,0,D164/D166)</f>
        <v>2.3609007819506179E-3</v>
      </c>
      <c r="E156" s="227">
        <f>IF(E166=0,0,E164/E166)</f>
        <v>1.9089082878151816E-3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7.9838122247062669E-4</v>
      </c>
      <c r="D157" s="227">
        <f>IF(D166=0,0,D165/D166)</f>
        <v>5.3339509815979907E-4</v>
      </c>
      <c r="E157" s="227">
        <f>IF(E166=0,0,E165/E166)</f>
        <v>3.4528776776577585E-3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0.99999999999999989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66301132</v>
      </c>
      <c r="D160" s="229">
        <f>+D44-D164</f>
        <v>68173457</v>
      </c>
      <c r="E160" s="229">
        <f>+E44-E164</f>
        <v>75848751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53617301</v>
      </c>
      <c r="D161" s="229">
        <f>+D50</f>
        <v>55073071</v>
      </c>
      <c r="E161" s="229">
        <f>+E50</f>
        <v>62102736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18203346</v>
      </c>
      <c r="D162" s="229">
        <f>+D54</f>
        <v>20366801</v>
      </c>
      <c r="E162" s="229">
        <f>+E54</f>
        <v>21955881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817320</v>
      </c>
      <c r="D164" s="229">
        <f>+D45</f>
        <v>340041</v>
      </c>
      <c r="E164" s="229">
        <f>+E45</f>
        <v>306894</v>
      </c>
    </row>
    <row r="165" spans="1:6" ht="20.100000000000001" customHeight="1" x14ac:dyDescent="0.2">
      <c r="A165" s="226">
        <v>13</v>
      </c>
      <c r="B165" s="224" t="s">
        <v>417</v>
      </c>
      <c r="C165" s="230">
        <v>111015</v>
      </c>
      <c r="D165" s="229">
        <v>76825</v>
      </c>
      <c r="E165" s="229">
        <v>555117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139050114</v>
      </c>
      <c r="D166" s="229">
        <f>SUM(D160:D165)</f>
        <v>144030195</v>
      </c>
      <c r="E166" s="229">
        <f>SUM(E160:E165)</f>
        <v>160769379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2232</v>
      </c>
      <c r="D169" s="218">
        <v>2030</v>
      </c>
      <c r="E169" s="218">
        <v>2367</v>
      </c>
    </row>
    <row r="170" spans="1:6" ht="20.100000000000001" customHeight="1" x14ac:dyDescent="0.2">
      <c r="A170" s="226">
        <v>2</v>
      </c>
      <c r="B170" s="224" t="s">
        <v>420</v>
      </c>
      <c r="C170" s="218">
        <v>3283</v>
      </c>
      <c r="D170" s="218">
        <v>3387</v>
      </c>
      <c r="E170" s="218">
        <v>3582</v>
      </c>
    </row>
    <row r="171" spans="1:6" ht="20.100000000000001" customHeight="1" x14ac:dyDescent="0.2">
      <c r="A171" s="226">
        <v>3</v>
      </c>
      <c r="B171" s="224" t="s">
        <v>421</v>
      </c>
      <c r="C171" s="218">
        <v>1416</v>
      </c>
      <c r="D171" s="218">
        <v>1523</v>
      </c>
      <c r="E171" s="218">
        <v>1638</v>
      </c>
    </row>
    <row r="172" spans="1:6" ht="20.100000000000001" customHeight="1" x14ac:dyDescent="0.2">
      <c r="A172" s="226">
        <v>4</v>
      </c>
      <c r="B172" s="224" t="s">
        <v>422</v>
      </c>
      <c r="C172" s="218">
        <v>1416</v>
      </c>
      <c r="D172" s="218">
        <v>1523</v>
      </c>
      <c r="E172" s="218">
        <v>1638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4</v>
      </c>
      <c r="D174" s="218">
        <v>10</v>
      </c>
      <c r="E174" s="218">
        <v>10</v>
      </c>
    </row>
    <row r="175" spans="1:6" ht="20.100000000000001" customHeight="1" x14ac:dyDescent="0.2">
      <c r="A175" s="226">
        <v>7</v>
      </c>
      <c r="B175" s="224" t="s">
        <v>425</v>
      </c>
      <c r="C175" s="218">
        <v>81</v>
      </c>
      <c r="D175" s="218">
        <v>11</v>
      </c>
      <c r="E175" s="218">
        <v>19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6935</v>
      </c>
      <c r="D176" s="218">
        <f>+D169+D170+D171+D174</f>
        <v>6950</v>
      </c>
      <c r="E176" s="218">
        <f>+E169+E170+E171+E174</f>
        <v>7597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1.0301499999999999</v>
      </c>
      <c r="D179" s="231">
        <v>1.0487</v>
      </c>
      <c r="E179" s="231">
        <v>1.1299999999999999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1.32358</v>
      </c>
      <c r="D180" s="231">
        <v>1.30745</v>
      </c>
      <c r="E180" s="231">
        <v>1.38</v>
      </c>
    </row>
    <row r="181" spans="1:6" ht="20.100000000000001" customHeight="1" x14ac:dyDescent="0.2">
      <c r="A181" s="226">
        <v>3</v>
      </c>
      <c r="B181" s="224" t="s">
        <v>421</v>
      </c>
      <c r="C181" s="231">
        <v>0.84899000000000002</v>
      </c>
      <c r="D181" s="231">
        <v>0.87407999999999997</v>
      </c>
      <c r="E181" s="231">
        <v>0.92</v>
      </c>
    </row>
    <row r="182" spans="1:6" ht="20.100000000000001" customHeight="1" x14ac:dyDescent="0.2">
      <c r="A182" s="226">
        <v>4</v>
      </c>
      <c r="B182" s="224" t="s">
        <v>422</v>
      </c>
      <c r="C182" s="231">
        <v>0.84899000000000002</v>
      </c>
      <c r="D182" s="231">
        <v>0.87407999999999997</v>
      </c>
      <c r="E182" s="231">
        <v>0.92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1.24465</v>
      </c>
      <c r="D184" s="231">
        <v>0.65644999999999998</v>
      </c>
      <c r="E184" s="231">
        <v>0.77</v>
      </c>
    </row>
    <row r="185" spans="1:6" ht="20.100000000000001" customHeight="1" x14ac:dyDescent="0.2">
      <c r="A185" s="226">
        <v>7</v>
      </c>
      <c r="B185" s="224" t="s">
        <v>425</v>
      </c>
      <c r="C185" s="231">
        <v>0.85394000000000003</v>
      </c>
      <c r="D185" s="231">
        <v>0.92817000000000005</v>
      </c>
      <c r="E185" s="231">
        <v>1.02</v>
      </c>
    </row>
    <row r="186" spans="1:6" ht="20.100000000000001" customHeight="1" x14ac:dyDescent="0.2">
      <c r="A186" s="226">
        <v>8</v>
      </c>
      <c r="B186" s="224" t="s">
        <v>429</v>
      </c>
      <c r="C186" s="231">
        <v>1.1321920000000001</v>
      </c>
      <c r="D186" s="231">
        <v>1.1359680000000001</v>
      </c>
      <c r="E186" s="231">
        <v>1.2021230000000001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4838</v>
      </c>
      <c r="D189" s="218">
        <v>5022</v>
      </c>
      <c r="E189" s="218">
        <v>5200</v>
      </c>
    </row>
    <row r="190" spans="1:6" ht="20.100000000000001" customHeight="1" x14ac:dyDescent="0.2">
      <c r="A190" s="226">
        <v>2</v>
      </c>
      <c r="B190" s="224" t="s">
        <v>433</v>
      </c>
      <c r="C190" s="218">
        <v>33063</v>
      </c>
      <c r="D190" s="218">
        <v>32181</v>
      </c>
      <c r="E190" s="218">
        <v>32340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37901</v>
      </c>
      <c r="D191" s="218">
        <f>+D190+D189</f>
        <v>37203</v>
      </c>
      <c r="E191" s="218">
        <f>+E190+E189</f>
        <v>37540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75" bottom="0.75" header="0.3" footer="0.3"/>
  <pageSetup scale="69" fitToHeight="0" orientation="portrait" r:id="rId1"/>
  <headerFooter>
    <oddHeader>&amp;LOFFICE OF HEALTH CARE ACCESS&amp;CTWELVE MONTHS ACTUAL FILING&amp;RGRIFFIN HOSPITAL</oddHeader>
    <oddFooter>&amp;L&amp;8REPORT 185&amp;C&amp;8PAGE &amp;P of &amp;N&amp;R&amp;D,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topLeftCell="A15"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94.85546875" style="235" bestFit="1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394268</v>
      </c>
      <c r="D14" s="258">
        <v>4239260</v>
      </c>
      <c r="E14" s="258">
        <f t="shared" ref="E14:E24" si="0">D14-C14</f>
        <v>3844992</v>
      </c>
      <c r="F14" s="259">
        <f t="shared" ref="F14:F24" si="1">IF(C14=0,0,E14/C14)</f>
        <v>9.7522294479896932</v>
      </c>
    </row>
    <row r="15" spans="1:7" ht="20.25" customHeight="1" x14ac:dyDescent="0.3">
      <c r="A15" s="256">
        <v>2</v>
      </c>
      <c r="B15" s="257" t="s">
        <v>442</v>
      </c>
      <c r="C15" s="258">
        <v>102208</v>
      </c>
      <c r="D15" s="258">
        <v>990257</v>
      </c>
      <c r="E15" s="258">
        <f t="shared" si="0"/>
        <v>888049</v>
      </c>
      <c r="F15" s="259">
        <f t="shared" si="1"/>
        <v>8.6886447244834066</v>
      </c>
    </row>
    <row r="16" spans="1:7" ht="20.25" customHeight="1" x14ac:dyDescent="0.3">
      <c r="A16" s="256">
        <v>3</v>
      </c>
      <c r="B16" s="257" t="s">
        <v>443</v>
      </c>
      <c r="C16" s="258">
        <v>697828</v>
      </c>
      <c r="D16" s="258">
        <v>2861810</v>
      </c>
      <c r="E16" s="258">
        <f t="shared" si="0"/>
        <v>2163982</v>
      </c>
      <c r="F16" s="259">
        <f t="shared" si="1"/>
        <v>3.1010248943865824</v>
      </c>
    </row>
    <row r="17" spans="1:6" ht="20.25" customHeight="1" x14ac:dyDescent="0.3">
      <c r="A17" s="256">
        <v>4</v>
      </c>
      <c r="B17" s="257" t="s">
        <v>444</v>
      </c>
      <c r="C17" s="258">
        <v>177857</v>
      </c>
      <c r="D17" s="258">
        <v>531527</v>
      </c>
      <c r="E17" s="258">
        <f t="shared" si="0"/>
        <v>353670</v>
      </c>
      <c r="F17" s="259">
        <f t="shared" si="1"/>
        <v>1.988507621291262</v>
      </c>
    </row>
    <row r="18" spans="1:6" ht="20.25" customHeight="1" x14ac:dyDescent="0.3">
      <c r="A18" s="256">
        <v>5</v>
      </c>
      <c r="B18" s="257" t="s">
        <v>381</v>
      </c>
      <c r="C18" s="260">
        <v>12</v>
      </c>
      <c r="D18" s="260">
        <v>87</v>
      </c>
      <c r="E18" s="260">
        <f t="shared" si="0"/>
        <v>75</v>
      </c>
      <c r="F18" s="259">
        <f t="shared" si="1"/>
        <v>6.25</v>
      </c>
    </row>
    <row r="19" spans="1:6" ht="20.25" customHeight="1" x14ac:dyDescent="0.3">
      <c r="A19" s="256">
        <v>6</v>
      </c>
      <c r="B19" s="257" t="s">
        <v>380</v>
      </c>
      <c r="C19" s="260">
        <v>46</v>
      </c>
      <c r="D19" s="260">
        <v>494</v>
      </c>
      <c r="E19" s="260">
        <f t="shared" si="0"/>
        <v>448</v>
      </c>
      <c r="F19" s="259">
        <f t="shared" si="1"/>
        <v>9.7391304347826093</v>
      </c>
    </row>
    <row r="20" spans="1:6" ht="20.25" customHeight="1" x14ac:dyDescent="0.3">
      <c r="A20" s="256">
        <v>7</v>
      </c>
      <c r="B20" s="257" t="s">
        <v>445</v>
      </c>
      <c r="C20" s="260">
        <v>203</v>
      </c>
      <c r="D20" s="260">
        <v>1031</v>
      </c>
      <c r="E20" s="260">
        <f t="shared" si="0"/>
        <v>828</v>
      </c>
      <c r="F20" s="259">
        <f t="shared" si="1"/>
        <v>4.0788177339901477</v>
      </c>
    </row>
    <row r="21" spans="1:6" ht="20.25" customHeight="1" x14ac:dyDescent="0.3">
      <c r="A21" s="256">
        <v>8</v>
      </c>
      <c r="B21" s="257" t="s">
        <v>446</v>
      </c>
      <c r="C21" s="260">
        <v>48</v>
      </c>
      <c r="D21" s="260">
        <v>204</v>
      </c>
      <c r="E21" s="260">
        <f t="shared" si="0"/>
        <v>156</v>
      </c>
      <c r="F21" s="259">
        <f t="shared" si="1"/>
        <v>3.25</v>
      </c>
    </row>
    <row r="22" spans="1:6" ht="20.25" customHeight="1" x14ac:dyDescent="0.3">
      <c r="A22" s="256">
        <v>9</v>
      </c>
      <c r="B22" s="257" t="s">
        <v>447</v>
      </c>
      <c r="C22" s="260">
        <v>9</v>
      </c>
      <c r="D22" s="260">
        <v>70</v>
      </c>
      <c r="E22" s="260">
        <f t="shared" si="0"/>
        <v>61</v>
      </c>
      <c r="F22" s="259">
        <f t="shared" si="1"/>
        <v>6.7777777777777777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1092096</v>
      </c>
      <c r="D23" s="263">
        <f>+D14+D16</f>
        <v>7101070</v>
      </c>
      <c r="E23" s="263">
        <f t="shared" si="0"/>
        <v>6008974</v>
      </c>
      <c r="F23" s="264">
        <f t="shared" si="1"/>
        <v>5.5022397298405998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280065</v>
      </c>
      <c r="D24" s="263">
        <f>+D15+D17</f>
        <v>1521784</v>
      </c>
      <c r="E24" s="263">
        <f t="shared" si="0"/>
        <v>1241719</v>
      </c>
      <c r="F24" s="264">
        <f t="shared" si="1"/>
        <v>4.4336814668023496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15573269</v>
      </c>
      <c r="D40" s="258">
        <v>17479661</v>
      </c>
      <c r="E40" s="258">
        <f t="shared" ref="E40:E50" si="4">D40-C40</f>
        <v>1906392</v>
      </c>
      <c r="F40" s="259">
        <f t="shared" ref="F40:F50" si="5">IF(C40=0,0,E40/C40)</f>
        <v>0.12241437555596067</v>
      </c>
    </row>
    <row r="41" spans="1:6" ht="20.25" customHeight="1" x14ac:dyDescent="0.3">
      <c r="A41" s="256">
        <v>2</v>
      </c>
      <c r="B41" s="257" t="s">
        <v>442</v>
      </c>
      <c r="C41" s="258">
        <v>3608424</v>
      </c>
      <c r="D41" s="258">
        <v>4771744</v>
      </c>
      <c r="E41" s="258">
        <f t="shared" si="4"/>
        <v>1163320</v>
      </c>
      <c r="F41" s="259">
        <f t="shared" si="5"/>
        <v>0.32239005172341167</v>
      </c>
    </row>
    <row r="42" spans="1:6" ht="20.25" customHeight="1" x14ac:dyDescent="0.3">
      <c r="A42" s="256">
        <v>3</v>
      </c>
      <c r="B42" s="257" t="s">
        <v>443</v>
      </c>
      <c r="C42" s="258">
        <v>14001956</v>
      </c>
      <c r="D42" s="258">
        <v>14501128</v>
      </c>
      <c r="E42" s="258">
        <f t="shared" si="4"/>
        <v>499172</v>
      </c>
      <c r="F42" s="259">
        <f t="shared" si="5"/>
        <v>3.5650162020220602E-2</v>
      </c>
    </row>
    <row r="43" spans="1:6" ht="20.25" customHeight="1" x14ac:dyDescent="0.3">
      <c r="A43" s="256">
        <v>4</v>
      </c>
      <c r="B43" s="257" t="s">
        <v>444</v>
      </c>
      <c r="C43" s="258">
        <v>2658196</v>
      </c>
      <c r="D43" s="258">
        <v>2658611</v>
      </c>
      <c r="E43" s="258">
        <f t="shared" si="4"/>
        <v>415</v>
      </c>
      <c r="F43" s="259">
        <f t="shared" si="5"/>
        <v>1.56120918096333E-4</v>
      </c>
    </row>
    <row r="44" spans="1:6" ht="20.25" customHeight="1" x14ac:dyDescent="0.3">
      <c r="A44" s="256">
        <v>5</v>
      </c>
      <c r="B44" s="257" t="s">
        <v>381</v>
      </c>
      <c r="C44" s="260">
        <v>393</v>
      </c>
      <c r="D44" s="260">
        <v>469</v>
      </c>
      <c r="E44" s="260">
        <f t="shared" si="4"/>
        <v>76</v>
      </c>
      <c r="F44" s="259">
        <f t="shared" si="5"/>
        <v>0.19338422391857507</v>
      </c>
    </row>
    <row r="45" spans="1:6" ht="20.25" customHeight="1" x14ac:dyDescent="0.3">
      <c r="A45" s="256">
        <v>6</v>
      </c>
      <c r="B45" s="257" t="s">
        <v>380</v>
      </c>
      <c r="C45" s="260">
        <v>1946</v>
      </c>
      <c r="D45" s="260">
        <v>1967</v>
      </c>
      <c r="E45" s="260">
        <f t="shared" si="4"/>
        <v>21</v>
      </c>
      <c r="F45" s="259">
        <f t="shared" si="5"/>
        <v>1.0791366906474821E-2</v>
      </c>
    </row>
    <row r="46" spans="1:6" ht="20.25" customHeight="1" x14ac:dyDescent="0.3">
      <c r="A46" s="256">
        <v>7</v>
      </c>
      <c r="B46" s="257" t="s">
        <v>445</v>
      </c>
      <c r="C46" s="260">
        <v>5349</v>
      </c>
      <c r="D46" s="260">
        <v>5670</v>
      </c>
      <c r="E46" s="260">
        <f t="shared" si="4"/>
        <v>321</v>
      </c>
      <c r="F46" s="259">
        <f t="shared" si="5"/>
        <v>6.0011217049915869E-2</v>
      </c>
    </row>
    <row r="47" spans="1:6" ht="20.25" customHeight="1" x14ac:dyDescent="0.3">
      <c r="A47" s="256">
        <v>8</v>
      </c>
      <c r="B47" s="257" t="s">
        <v>446</v>
      </c>
      <c r="C47" s="260">
        <v>762</v>
      </c>
      <c r="D47" s="260">
        <v>751</v>
      </c>
      <c r="E47" s="260">
        <f t="shared" si="4"/>
        <v>-11</v>
      </c>
      <c r="F47" s="259">
        <f t="shared" si="5"/>
        <v>-1.4435695538057743E-2</v>
      </c>
    </row>
    <row r="48" spans="1:6" ht="20.25" customHeight="1" x14ac:dyDescent="0.3">
      <c r="A48" s="256">
        <v>9</v>
      </c>
      <c r="B48" s="257" t="s">
        <v>447</v>
      </c>
      <c r="C48" s="260">
        <v>347</v>
      </c>
      <c r="D48" s="260">
        <v>380</v>
      </c>
      <c r="E48" s="260">
        <f t="shared" si="4"/>
        <v>33</v>
      </c>
      <c r="F48" s="259">
        <f t="shared" si="5"/>
        <v>9.5100864553314124E-2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29575225</v>
      </c>
      <c r="D49" s="263">
        <f>+D40+D42</f>
        <v>31980789</v>
      </c>
      <c r="E49" s="263">
        <f t="shared" si="4"/>
        <v>2405564</v>
      </c>
      <c r="F49" s="264">
        <f t="shared" si="5"/>
        <v>8.1337132684535796E-2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6266620</v>
      </c>
      <c r="D50" s="263">
        <f>+D41+D43</f>
        <v>7430355</v>
      </c>
      <c r="E50" s="263">
        <f t="shared" si="4"/>
        <v>1163735</v>
      </c>
      <c r="F50" s="264">
        <f t="shared" si="5"/>
        <v>0.18570377651748471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0</v>
      </c>
      <c r="D66" s="258">
        <v>0</v>
      </c>
      <c r="E66" s="258">
        <f t="shared" ref="E66:E76" si="8">D66-C66</f>
        <v>0</v>
      </c>
      <c r="F66" s="259">
        <f t="shared" ref="F66:F76" si="9">IF(C66=0,0,E66/C66)</f>
        <v>0</v>
      </c>
    </row>
    <row r="67" spans="1:6" ht="20.25" customHeight="1" x14ac:dyDescent="0.3">
      <c r="A67" s="256">
        <v>2</v>
      </c>
      <c r="B67" s="257" t="s">
        <v>442</v>
      </c>
      <c r="C67" s="258">
        <v>0</v>
      </c>
      <c r="D67" s="258">
        <v>0</v>
      </c>
      <c r="E67" s="258">
        <f t="shared" si="8"/>
        <v>0</v>
      </c>
      <c r="F67" s="259">
        <f t="shared" si="9"/>
        <v>0</v>
      </c>
    </row>
    <row r="68" spans="1:6" ht="20.25" customHeight="1" x14ac:dyDescent="0.3">
      <c r="A68" s="256">
        <v>3</v>
      </c>
      <c r="B68" s="257" t="s">
        <v>443</v>
      </c>
      <c r="C68" s="258">
        <v>0</v>
      </c>
      <c r="D68" s="258">
        <v>0</v>
      </c>
      <c r="E68" s="258">
        <f t="shared" si="8"/>
        <v>0</v>
      </c>
      <c r="F68" s="259">
        <f t="shared" si="9"/>
        <v>0</v>
      </c>
    </row>
    <row r="69" spans="1:6" ht="20.25" customHeight="1" x14ac:dyDescent="0.3">
      <c r="A69" s="256">
        <v>4</v>
      </c>
      <c r="B69" s="257" t="s">
        <v>444</v>
      </c>
      <c r="C69" s="258">
        <v>0</v>
      </c>
      <c r="D69" s="258">
        <v>0</v>
      </c>
      <c r="E69" s="258">
        <f t="shared" si="8"/>
        <v>0</v>
      </c>
      <c r="F69" s="259">
        <f t="shared" si="9"/>
        <v>0</v>
      </c>
    </row>
    <row r="70" spans="1:6" ht="20.25" customHeight="1" x14ac:dyDescent="0.3">
      <c r="A70" s="256">
        <v>5</v>
      </c>
      <c r="B70" s="257" t="s">
        <v>381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ht="20.25" customHeight="1" x14ac:dyDescent="0.3">
      <c r="A71" s="256">
        <v>6</v>
      </c>
      <c r="B71" s="257" t="s">
        <v>380</v>
      </c>
      <c r="C71" s="260">
        <v>0</v>
      </c>
      <c r="D71" s="260">
        <v>0</v>
      </c>
      <c r="E71" s="260">
        <f t="shared" si="8"/>
        <v>0</v>
      </c>
      <c r="F71" s="259">
        <f t="shared" si="9"/>
        <v>0</v>
      </c>
    </row>
    <row r="72" spans="1:6" ht="20.25" customHeight="1" x14ac:dyDescent="0.3">
      <c r="A72" s="256">
        <v>7</v>
      </c>
      <c r="B72" s="257" t="s">
        <v>445</v>
      </c>
      <c r="C72" s="260">
        <v>0</v>
      </c>
      <c r="D72" s="260">
        <v>0</v>
      </c>
      <c r="E72" s="260">
        <f t="shared" si="8"/>
        <v>0</v>
      </c>
      <c r="F72" s="259">
        <f t="shared" si="9"/>
        <v>0</v>
      </c>
    </row>
    <row r="73" spans="1:6" ht="20.25" customHeight="1" x14ac:dyDescent="0.3">
      <c r="A73" s="256">
        <v>8</v>
      </c>
      <c r="B73" s="257" t="s">
        <v>446</v>
      </c>
      <c r="C73" s="260">
        <v>0</v>
      </c>
      <c r="D73" s="260">
        <v>0</v>
      </c>
      <c r="E73" s="260">
        <f t="shared" si="8"/>
        <v>0</v>
      </c>
      <c r="F73" s="259">
        <f t="shared" si="9"/>
        <v>0</v>
      </c>
    </row>
    <row r="74" spans="1:6" ht="20.25" customHeight="1" x14ac:dyDescent="0.3">
      <c r="A74" s="256">
        <v>9</v>
      </c>
      <c r="B74" s="257" t="s">
        <v>447</v>
      </c>
      <c r="C74" s="260">
        <v>0</v>
      </c>
      <c r="D74" s="260">
        <v>0</v>
      </c>
      <c r="E74" s="260">
        <f t="shared" si="8"/>
        <v>0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0</v>
      </c>
      <c r="D75" s="263">
        <f>+D66+D68</f>
        <v>0</v>
      </c>
      <c r="E75" s="263">
        <f t="shared" si="8"/>
        <v>0</v>
      </c>
      <c r="F75" s="264">
        <f t="shared" si="9"/>
        <v>0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0</v>
      </c>
      <c r="D76" s="263">
        <f>+D67+D69</f>
        <v>0</v>
      </c>
      <c r="E76" s="263">
        <f t="shared" si="8"/>
        <v>0</v>
      </c>
      <c r="F76" s="264">
        <f t="shared" si="9"/>
        <v>0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15670124</v>
      </c>
      <c r="D92" s="258">
        <v>13253486</v>
      </c>
      <c r="E92" s="258">
        <f t="shared" ref="E92:E102" si="12">D92-C92</f>
        <v>-2416638</v>
      </c>
      <c r="F92" s="259">
        <f t="shared" ref="F92:F102" si="13">IF(C92=0,0,E92/C92)</f>
        <v>-0.15421945608088361</v>
      </c>
    </row>
    <row r="93" spans="1:6" ht="20.25" customHeight="1" x14ac:dyDescent="0.3">
      <c r="A93" s="256">
        <v>2</v>
      </c>
      <c r="B93" s="257" t="s">
        <v>442</v>
      </c>
      <c r="C93" s="258">
        <v>3711607</v>
      </c>
      <c r="D93" s="258">
        <v>3026846</v>
      </c>
      <c r="E93" s="258">
        <f t="shared" si="12"/>
        <v>-684761</v>
      </c>
      <c r="F93" s="259">
        <f t="shared" si="13"/>
        <v>-0.1844917848252792</v>
      </c>
    </row>
    <row r="94" spans="1:6" ht="20.25" customHeight="1" x14ac:dyDescent="0.3">
      <c r="A94" s="256">
        <v>3</v>
      </c>
      <c r="B94" s="257" t="s">
        <v>443</v>
      </c>
      <c r="C94" s="258">
        <v>11162425</v>
      </c>
      <c r="D94" s="258">
        <v>10550937</v>
      </c>
      <c r="E94" s="258">
        <f t="shared" si="12"/>
        <v>-611488</v>
      </c>
      <c r="F94" s="259">
        <f t="shared" si="13"/>
        <v>-5.4780927979359323E-2</v>
      </c>
    </row>
    <row r="95" spans="1:6" ht="20.25" customHeight="1" x14ac:dyDescent="0.3">
      <c r="A95" s="256">
        <v>4</v>
      </c>
      <c r="B95" s="257" t="s">
        <v>444</v>
      </c>
      <c r="C95" s="258">
        <v>1933826</v>
      </c>
      <c r="D95" s="258">
        <v>2283086</v>
      </c>
      <c r="E95" s="258">
        <f t="shared" si="12"/>
        <v>349260</v>
      </c>
      <c r="F95" s="259">
        <f t="shared" si="13"/>
        <v>0.18060570082313507</v>
      </c>
    </row>
    <row r="96" spans="1:6" ht="20.25" customHeight="1" x14ac:dyDescent="0.3">
      <c r="A96" s="256">
        <v>5</v>
      </c>
      <c r="B96" s="257" t="s">
        <v>381</v>
      </c>
      <c r="C96" s="260">
        <v>416</v>
      </c>
      <c r="D96" s="260">
        <v>356</v>
      </c>
      <c r="E96" s="260">
        <f t="shared" si="12"/>
        <v>-60</v>
      </c>
      <c r="F96" s="259">
        <f t="shared" si="13"/>
        <v>-0.14423076923076922</v>
      </c>
    </row>
    <row r="97" spans="1:6" ht="20.25" customHeight="1" x14ac:dyDescent="0.3">
      <c r="A97" s="256">
        <v>6</v>
      </c>
      <c r="B97" s="257" t="s">
        <v>380</v>
      </c>
      <c r="C97" s="260">
        <v>2028</v>
      </c>
      <c r="D97" s="260">
        <v>1623</v>
      </c>
      <c r="E97" s="260">
        <f t="shared" si="12"/>
        <v>-405</v>
      </c>
      <c r="F97" s="259">
        <f t="shared" si="13"/>
        <v>-0.19970414201183431</v>
      </c>
    </row>
    <row r="98" spans="1:6" ht="20.25" customHeight="1" x14ac:dyDescent="0.3">
      <c r="A98" s="256">
        <v>7</v>
      </c>
      <c r="B98" s="257" t="s">
        <v>445</v>
      </c>
      <c r="C98" s="260">
        <v>3567</v>
      </c>
      <c r="D98" s="260">
        <v>3862</v>
      </c>
      <c r="E98" s="260">
        <f t="shared" si="12"/>
        <v>295</v>
      </c>
      <c r="F98" s="259">
        <f t="shared" si="13"/>
        <v>8.2702551163442675E-2</v>
      </c>
    </row>
    <row r="99" spans="1:6" ht="20.25" customHeight="1" x14ac:dyDescent="0.3">
      <c r="A99" s="256">
        <v>8</v>
      </c>
      <c r="B99" s="257" t="s">
        <v>446</v>
      </c>
      <c r="C99" s="260">
        <v>670</v>
      </c>
      <c r="D99" s="260">
        <v>662</v>
      </c>
      <c r="E99" s="260">
        <f t="shared" si="12"/>
        <v>-8</v>
      </c>
      <c r="F99" s="259">
        <f t="shared" si="13"/>
        <v>-1.1940298507462687E-2</v>
      </c>
    </row>
    <row r="100" spans="1:6" ht="20.25" customHeight="1" x14ac:dyDescent="0.3">
      <c r="A100" s="256">
        <v>9</v>
      </c>
      <c r="B100" s="257" t="s">
        <v>447</v>
      </c>
      <c r="C100" s="260">
        <v>380</v>
      </c>
      <c r="D100" s="260">
        <v>315</v>
      </c>
      <c r="E100" s="260">
        <f t="shared" si="12"/>
        <v>-65</v>
      </c>
      <c r="F100" s="259">
        <f t="shared" si="13"/>
        <v>-0.17105263157894737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26832549</v>
      </c>
      <c r="D101" s="263">
        <f>+D92+D94</f>
        <v>23804423</v>
      </c>
      <c r="E101" s="263">
        <f t="shared" si="12"/>
        <v>-3028126</v>
      </c>
      <c r="F101" s="264">
        <f t="shared" si="13"/>
        <v>-0.11285271481289384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5645433</v>
      </c>
      <c r="D102" s="263">
        <f>+D93+D95</f>
        <v>5309932</v>
      </c>
      <c r="E102" s="263">
        <f t="shared" si="12"/>
        <v>-335501</v>
      </c>
      <c r="F102" s="264">
        <f t="shared" si="13"/>
        <v>-5.9428745323875071E-2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2032356</v>
      </c>
      <c r="D105" s="258">
        <v>539377</v>
      </c>
      <c r="E105" s="258">
        <f t="shared" ref="E105:E115" si="14">D105-C105</f>
        <v>-1492979</v>
      </c>
      <c r="F105" s="259">
        <f t="shared" ref="F105:F115" si="15">IF(C105=0,0,E105/C105)</f>
        <v>-0.73460505934983833</v>
      </c>
    </row>
    <row r="106" spans="1:6" ht="20.25" customHeight="1" x14ac:dyDescent="0.3">
      <c r="A106" s="256">
        <v>2</v>
      </c>
      <c r="B106" s="257" t="s">
        <v>442</v>
      </c>
      <c r="C106" s="258">
        <v>389515</v>
      </c>
      <c r="D106" s="258">
        <v>75323</v>
      </c>
      <c r="E106" s="258">
        <f t="shared" si="14"/>
        <v>-314192</v>
      </c>
      <c r="F106" s="259">
        <f t="shared" si="15"/>
        <v>-0.80662362168337542</v>
      </c>
    </row>
    <row r="107" spans="1:6" ht="20.25" customHeight="1" x14ac:dyDescent="0.3">
      <c r="A107" s="256">
        <v>3</v>
      </c>
      <c r="B107" s="257" t="s">
        <v>443</v>
      </c>
      <c r="C107" s="258">
        <v>2131878</v>
      </c>
      <c r="D107" s="258">
        <v>1235132</v>
      </c>
      <c r="E107" s="258">
        <f t="shared" si="14"/>
        <v>-896746</v>
      </c>
      <c r="F107" s="259">
        <f t="shared" si="15"/>
        <v>-0.4206366405582308</v>
      </c>
    </row>
    <row r="108" spans="1:6" ht="20.25" customHeight="1" x14ac:dyDescent="0.3">
      <c r="A108" s="256">
        <v>4</v>
      </c>
      <c r="B108" s="257" t="s">
        <v>444</v>
      </c>
      <c r="C108" s="258">
        <v>580400</v>
      </c>
      <c r="D108" s="258">
        <v>127520</v>
      </c>
      <c r="E108" s="258">
        <f t="shared" si="14"/>
        <v>-452880</v>
      </c>
      <c r="F108" s="259">
        <f t="shared" si="15"/>
        <v>-0.78028945554789797</v>
      </c>
    </row>
    <row r="109" spans="1:6" ht="20.25" customHeight="1" x14ac:dyDescent="0.3">
      <c r="A109" s="256">
        <v>5</v>
      </c>
      <c r="B109" s="257" t="s">
        <v>381</v>
      </c>
      <c r="C109" s="260">
        <v>66</v>
      </c>
      <c r="D109" s="260">
        <v>27</v>
      </c>
      <c r="E109" s="260">
        <f t="shared" si="14"/>
        <v>-39</v>
      </c>
      <c r="F109" s="259">
        <f t="shared" si="15"/>
        <v>-0.59090909090909094</v>
      </c>
    </row>
    <row r="110" spans="1:6" ht="20.25" customHeight="1" x14ac:dyDescent="0.3">
      <c r="A110" s="256">
        <v>6</v>
      </c>
      <c r="B110" s="257" t="s">
        <v>380</v>
      </c>
      <c r="C110" s="260">
        <v>327</v>
      </c>
      <c r="D110" s="260">
        <v>77</v>
      </c>
      <c r="E110" s="260">
        <f t="shared" si="14"/>
        <v>-250</v>
      </c>
      <c r="F110" s="259">
        <f t="shared" si="15"/>
        <v>-0.76452599388379205</v>
      </c>
    </row>
    <row r="111" spans="1:6" ht="20.25" customHeight="1" x14ac:dyDescent="0.3">
      <c r="A111" s="256">
        <v>7</v>
      </c>
      <c r="B111" s="257" t="s">
        <v>445</v>
      </c>
      <c r="C111" s="260">
        <v>777</v>
      </c>
      <c r="D111" s="260">
        <v>387</v>
      </c>
      <c r="E111" s="260">
        <f t="shared" si="14"/>
        <v>-390</v>
      </c>
      <c r="F111" s="259">
        <f t="shared" si="15"/>
        <v>-0.50193050193050193</v>
      </c>
    </row>
    <row r="112" spans="1:6" ht="20.25" customHeight="1" x14ac:dyDescent="0.3">
      <c r="A112" s="256">
        <v>8</v>
      </c>
      <c r="B112" s="257" t="s">
        <v>446</v>
      </c>
      <c r="C112" s="260">
        <v>183</v>
      </c>
      <c r="D112" s="260">
        <v>77</v>
      </c>
      <c r="E112" s="260">
        <f t="shared" si="14"/>
        <v>-106</v>
      </c>
      <c r="F112" s="259">
        <f t="shared" si="15"/>
        <v>-0.57923497267759561</v>
      </c>
    </row>
    <row r="113" spans="1:6" ht="20.25" customHeight="1" x14ac:dyDescent="0.3">
      <c r="A113" s="256">
        <v>9</v>
      </c>
      <c r="B113" s="257" t="s">
        <v>447</v>
      </c>
      <c r="C113" s="260">
        <v>65</v>
      </c>
      <c r="D113" s="260">
        <v>24</v>
      </c>
      <c r="E113" s="260">
        <f t="shared" si="14"/>
        <v>-41</v>
      </c>
      <c r="F113" s="259">
        <f t="shared" si="15"/>
        <v>-0.63076923076923075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4164234</v>
      </c>
      <c r="D114" s="263">
        <f>+D105+D107</f>
        <v>1774509</v>
      </c>
      <c r="E114" s="263">
        <f t="shared" si="14"/>
        <v>-2389725</v>
      </c>
      <c r="F114" s="264">
        <f t="shared" si="15"/>
        <v>-0.57386904770481195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969915</v>
      </c>
      <c r="D115" s="263">
        <f>+D106+D108</f>
        <v>202843</v>
      </c>
      <c r="E115" s="263">
        <f t="shared" si="14"/>
        <v>-767072</v>
      </c>
      <c r="F115" s="264">
        <f t="shared" si="15"/>
        <v>-0.79086517890743002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8589210</v>
      </c>
      <c r="D118" s="258">
        <v>8950218</v>
      </c>
      <c r="E118" s="258">
        <f t="shared" ref="E118:E128" si="16">D118-C118</f>
        <v>361008</v>
      </c>
      <c r="F118" s="259">
        <f t="shared" ref="F118:F128" si="17">IF(C118=0,0,E118/C118)</f>
        <v>4.2030407918772508E-2</v>
      </c>
    </row>
    <row r="119" spans="1:6" ht="20.25" customHeight="1" x14ac:dyDescent="0.3">
      <c r="A119" s="256">
        <v>2</v>
      </c>
      <c r="B119" s="257" t="s">
        <v>442</v>
      </c>
      <c r="C119" s="258">
        <v>2021928</v>
      </c>
      <c r="D119" s="258">
        <v>2073010</v>
      </c>
      <c r="E119" s="258">
        <f t="shared" si="16"/>
        <v>51082</v>
      </c>
      <c r="F119" s="259">
        <f t="shared" si="17"/>
        <v>2.5264005444308599E-2</v>
      </c>
    </row>
    <row r="120" spans="1:6" ht="20.25" customHeight="1" x14ac:dyDescent="0.3">
      <c r="A120" s="256">
        <v>3</v>
      </c>
      <c r="B120" s="257" t="s">
        <v>443</v>
      </c>
      <c r="C120" s="258">
        <v>8044448</v>
      </c>
      <c r="D120" s="258">
        <v>8350654</v>
      </c>
      <c r="E120" s="258">
        <f t="shared" si="16"/>
        <v>306206</v>
      </c>
      <c r="F120" s="259">
        <f t="shared" si="17"/>
        <v>3.8064264943971297E-2</v>
      </c>
    </row>
    <row r="121" spans="1:6" ht="20.25" customHeight="1" x14ac:dyDescent="0.3">
      <c r="A121" s="256">
        <v>4</v>
      </c>
      <c r="B121" s="257" t="s">
        <v>444</v>
      </c>
      <c r="C121" s="258">
        <v>1607087</v>
      </c>
      <c r="D121" s="258">
        <v>1518199</v>
      </c>
      <c r="E121" s="258">
        <f t="shared" si="16"/>
        <v>-88888</v>
      </c>
      <c r="F121" s="259">
        <f t="shared" si="17"/>
        <v>-5.5310011219056592E-2</v>
      </c>
    </row>
    <row r="122" spans="1:6" ht="20.25" customHeight="1" x14ac:dyDescent="0.3">
      <c r="A122" s="256">
        <v>5</v>
      </c>
      <c r="B122" s="257" t="s">
        <v>381</v>
      </c>
      <c r="C122" s="260">
        <v>238</v>
      </c>
      <c r="D122" s="260">
        <v>219</v>
      </c>
      <c r="E122" s="260">
        <f t="shared" si="16"/>
        <v>-19</v>
      </c>
      <c r="F122" s="259">
        <f t="shared" si="17"/>
        <v>-7.9831932773109238E-2</v>
      </c>
    </row>
    <row r="123" spans="1:6" ht="20.25" customHeight="1" x14ac:dyDescent="0.3">
      <c r="A123" s="256">
        <v>6</v>
      </c>
      <c r="B123" s="257" t="s">
        <v>380</v>
      </c>
      <c r="C123" s="260">
        <v>1068</v>
      </c>
      <c r="D123" s="260">
        <v>1049</v>
      </c>
      <c r="E123" s="260">
        <f t="shared" si="16"/>
        <v>-19</v>
      </c>
      <c r="F123" s="259">
        <f t="shared" si="17"/>
        <v>-1.7790262172284643E-2</v>
      </c>
    </row>
    <row r="124" spans="1:6" ht="20.25" customHeight="1" x14ac:dyDescent="0.3">
      <c r="A124" s="256">
        <v>7</v>
      </c>
      <c r="B124" s="257" t="s">
        <v>445</v>
      </c>
      <c r="C124" s="260">
        <v>3061</v>
      </c>
      <c r="D124" s="260">
        <v>2989</v>
      </c>
      <c r="E124" s="260">
        <f t="shared" si="16"/>
        <v>-72</v>
      </c>
      <c r="F124" s="259">
        <f t="shared" si="17"/>
        <v>-2.3521724926494611E-2</v>
      </c>
    </row>
    <row r="125" spans="1:6" ht="20.25" customHeight="1" x14ac:dyDescent="0.3">
      <c r="A125" s="256">
        <v>8</v>
      </c>
      <c r="B125" s="257" t="s">
        <v>446</v>
      </c>
      <c r="C125" s="260">
        <v>405</v>
      </c>
      <c r="D125" s="260">
        <v>408</v>
      </c>
      <c r="E125" s="260">
        <f t="shared" si="16"/>
        <v>3</v>
      </c>
      <c r="F125" s="259">
        <f t="shared" si="17"/>
        <v>7.4074074074074077E-3</v>
      </c>
    </row>
    <row r="126" spans="1:6" ht="20.25" customHeight="1" x14ac:dyDescent="0.3">
      <c r="A126" s="256">
        <v>9</v>
      </c>
      <c r="B126" s="257" t="s">
        <v>447</v>
      </c>
      <c r="C126" s="260">
        <v>209</v>
      </c>
      <c r="D126" s="260">
        <v>189</v>
      </c>
      <c r="E126" s="260">
        <f t="shared" si="16"/>
        <v>-20</v>
      </c>
      <c r="F126" s="259">
        <f t="shared" si="17"/>
        <v>-9.569377990430622E-2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16633658</v>
      </c>
      <c r="D127" s="263">
        <f>+D118+D120</f>
        <v>17300872</v>
      </c>
      <c r="E127" s="263">
        <f t="shared" si="16"/>
        <v>667214</v>
      </c>
      <c r="F127" s="264">
        <f t="shared" si="17"/>
        <v>4.0112283179081838E-2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3629015</v>
      </c>
      <c r="D128" s="263">
        <f>+D119+D121</f>
        <v>3591209</v>
      </c>
      <c r="E128" s="263">
        <f t="shared" si="16"/>
        <v>-37806</v>
      </c>
      <c r="F128" s="264">
        <f t="shared" si="17"/>
        <v>-1.0417702875298118E-2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42100</v>
      </c>
      <c r="D131" s="258">
        <v>177750</v>
      </c>
      <c r="E131" s="258">
        <f t="shared" ref="E131:E141" si="18">D131-C131</f>
        <v>135650</v>
      </c>
      <c r="F131" s="259">
        <f t="shared" ref="F131:F141" si="19">IF(C131=0,0,E131/C131)</f>
        <v>3.2220902612826605</v>
      </c>
    </row>
    <row r="132" spans="1:6" ht="20.25" customHeight="1" x14ac:dyDescent="0.3">
      <c r="A132" s="256">
        <v>2</v>
      </c>
      <c r="B132" s="257" t="s">
        <v>442</v>
      </c>
      <c r="C132" s="258">
        <v>12807</v>
      </c>
      <c r="D132" s="258">
        <v>49218</v>
      </c>
      <c r="E132" s="258">
        <f t="shared" si="18"/>
        <v>36411</v>
      </c>
      <c r="F132" s="259">
        <f t="shared" si="19"/>
        <v>2.8430545795268212</v>
      </c>
    </row>
    <row r="133" spans="1:6" ht="20.25" customHeight="1" x14ac:dyDescent="0.3">
      <c r="A133" s="256">
        <v>3</v>
      </c>
      <c r="B133" s="257" t="s">
        <v>443</v>
      </c>
      <c r="C133" s="258">
        <v>81090</v>
      </c>
      <c r="D133" s="258">
        <v>164222</v>
      </c>
      <c r="E133" s="258">
        <f t="shared" si="18"/>
        <v>83132</v>
      </c>
      <c r="F133" s="259">
        <f t="shared" si="19"/>
        <v>1.0251818966580344</v>
      </c>
    </row>
    <row r="134" spans="1:6" ht="20.25" customHeight="1" x14ac:dyDescent="0.3">
      <c r="A134" s="256">
        <v>4</v>
      </c>
      <c r="B134" s="257" t="s">
        <v>444</v>
      </c>
      <c r="C134" s="258">
        <v>13544</v>
      </c>
      <c r="D134" s="258">
        <v>20376</v>
      </c>
      <c r="E134" s="258">
        <f t="shared" si="18"/>
        <v>6832</v>
      </c>
      <c r="F134" s="259">
        <f t="shared" si="19"/>
        <v>0.50443000590667453</v>
      </c>
    </row>
    <row r="135" spans="1:6" ht="20.25" customHeight="1" x14ac:dyDescent="0.3">
      <c r="A135" s="256">
        <v>5</v>
      </c>
      <c r="B135" s="257" t="s">
        <v>381</v>
      </c>
      <c r="C135" s="260">
        <v>2</v>
      </c>
      <c r="D135" s="260">
        <v>7</v>
      </c>
      <c r="E135" s="260">
        <f t="shared" si="18"/>
        <v>5</v>
      </c>
      <c r="F135" s="259">
        <f t="shared" si="19"/>
        <v>2.5</v>
      </c>
    </row>
    <row r="136" spans="1:6" ht="20.25" customHeight="1" x14ac:dyDescent="0.3">
      <c r="A136" s="256">
        <v>6</v>
      </c>
      <c r="B136" s="257" t="s">
        <v>380</v>
      </c>
      <c r="C136" s="260">
        <v>10</v>
      </c>
      <c r="D136" s="260">
        <v>30</v>
      </c>
      <c r="E136" s="260">
        <f t="shared" si="18"/>
        <v>20</v>
      </c>
      <c r="F136" s="259">
        <f t="shared" si="19"/>
        <v>2</v>
      </c>
    </row>
    <row r="137" spans="1:6" ht="20.25" customHeight="1" x14ac:dyDescent="0.3">
      <c r="A137" s="256">
        <v>7</v>
      </c>
      <c r="B137" s="257" t="s">
        <v>445</v>
      </c>
      <c r="C137" s="260">
        <v>17</v>
      </c>
      <c r="D137" s="260">
        <v>29</v>
      </c>
      <c r="E137" s="260">
        <f t="shared" si="18"/>
        <v>12</v>
      </c>
      <c r="F137" s="259">
        <f t="shared" si="19"/>
        <v>0.70588235294117652</v>
      </c>
    </row>
    <row r="138" spans="1:6" ht="20.25" customHeight="1" x14ac:dyDescent="0.3">
      <c r="A138" s="256">
        <v>8</v>
      </c>
      <c r="B138" s="257" t="s">
        <v>446</v>
      </c>
      <c r="C138" s="260">
        <v>17</v>
      </c>
      <c r="D138" s="260">
        <v>19</v>
      </c>
      <c r="E138" s="260">
        <f t="shared" si="18"/>
        <v>2</v>
      </c>
      <c r="F138" s="259">
        <f t="shared" si="19"/>
        <v>0.11764705882352941</v>
      </c>
    </row>
    <row r="139" spans="1:6" ht="20.25" customHeight="1" x14ac:dyDescent="0.3">
      <c r="A139" s="256">
        <v>9</v>
      </c>
      <c r="B139" s="257" t="s">
        <v>447</v>
      </c>
      <c r="C139" s="260">
        <v>2</v>
      </c>
      <c r="D139" s="260">
        <v>7</v>
      </c>
      <c r="E139" s="260">
        <f t="shared" si="18"/>
        <v>5</v>
      </c>
      <c r="F139" s="259">
        <f t="shared" si="19"/>
        <v>2.5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123190</v>
      </c>
      <c r="D140" s="263">
        <f>+D131+D133</f>
        <v>341972</v>
      </c>
      <c r="E140" s="263">
        <f t="shared" si="18"/>
        <v>218782</v>
      </c>
      <c r="F140" s="264">
        <f t="shared" si="19"/>
        <v>1.7759720756554915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26351</v>
      </c>
      <c r="D141" s="263">
        <f>+D132+D134</f>
        <v>69594</v>
      </c>
      <c r="E141" s="263">
        <f t="shared" si="18"/>
        <v>43243</v>
      </c>
      <c r="F141" s="264">
        <f t="shared" si="19"/>
        <v>1.6410382907669538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42301327</v>
      </c>
      <c r="D198" s="263">
        <f t="shared" si="28"/>
        <v>44639752</v>
      </c>
      <c r="E198" s="263">
        <f t="shared" ref="E198:E208" si="29">D198-C198</f>
        <v>2338425</v>
      </c>
      <c r="F198" s="273">
        <f t="shared" ref="F198:F208" si="30">IF(C198=0,0,E198/C198)</f>
        <v>5.5280180690312625E-2</v>
      </c>
    </row>
    <row r="199" spans="1:9" ht="20.25" customHeight="1" x14ac:dyDescent="0.3">
      <c r="A199" s="271"/>
      <c r="B199" s="272" t="s">
        <v>466</v>
      </c>
      <c r="C199" s="263">
        <f t="shared" si="28"/>
        <v>9846489</v>
      </c>
      <c r="D199" s="263">
        <f t="shared" si="28"/>
        <v>10986398</v>
      </c>
      <c r="E199" s="263">
        <f t="shared" si="29"/>
        <v>1139909</v>
      </c>
      <c r="F199" s="273">
        <f t="shared" si="30"/>
        <v>0.11576806717602589</v>
      </c>
    </row>
    <row r="200" spans="1:9" ht="20.25" customHeight="1" x14ac:dyDescent="0.3">
      <c r="A200" s="271"/>
      <c r="B200" s="272" t="s">
        <v>467</v>
      </c>
      <c r="C200" s="263">
        <f t="shared" si="28"/>
        <v>36119625</v>
      </c>
      <c r="D200" s="263">
        <f t="shared" si="28"/>
        <v>37663883</v>
      </c>
      <c r="E200" s="263">
        <f t="shared" si="29"/>
        <v>1544258</v>
      </c>
      <c r="F200" s="273">
        <f t="shared" si="30"/>
        <v>4.2753987617534787E-2</v>
      </c>
    </row>
    <row r="201" spans="1:9" ht="20.25" customHeight="1" x14ac:dyDescent="0.3">
      <c r="A201" s="271"/>
      <c r="B201" s="272" t="s">
        <v>468</v>
      </c>
      <c r="C201" s="263">
        <f t="shared" si="28"/>
        <v>6970910</v>
      </c>
      <c r="D201" s="263">
        <f t="shared" si="28"/>
        <v>7139319</v>
      </c>
      <c r="E201" s="263">
        <f t="shared" si="29"/>
        <v>168409</v>
      </c>
      <c r="F201" s="273">
        <f t="shared" si="30"/>
        <v>2.4158825748718603E-2</v>
      </c>
    </row>
    <row r="202" spans="1:9" ht="20.25" customHeight="1" x14ac:dyDescent="0.3">
      <c r="A202" s="271"/>
      <c r="B202" s="272" t="s">
        <v>138</v>
      </c>
      <c r="C202" s="274">
        <f t="shared" si="28"/>
        <v>1127</v>
      </c>
      <c r="D202" s="274">
        <f t="shared" si="28"/>
        <v>1165</v>
      </c>
      <c r="E202" s="274">
        <f t="shared" si="29"/>
        <v>38</v>
      </c>
      <c r="F202" s="273">
        <f t="shared" si="30"/>
        <v>3.3717834960070983E-2</v>
      </c>
    </row>
    <row r="203" spans="1:9" ht="20.25" customHeight="1" x14ac:dyDescent="0.3">
      <c r="A203" s="271"/>
      <c r="B203" s="272" t="s">
        <v>140</v>
      </c>
      <c r="C203" s="274">
        <f t="shared" si="28"/>
        <v>5425</v>
      </c>
      <c r="D203" s="274">
        <f t="shared" si="28"/>
        <v>5240</v>
      </c>
      <c r="E203" s="274">
        <f t="shared" si="29"/>
        <v>-185</v>
      </c>
      <c r="F203" s="273">
        <f t="shared" si="30"/>
        <v>-3.4101382488479264E-2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12974</v>
      </c>
      <c r="D204" s="274">
        <f t="shared" si="28"/>
        <v>13968</v>
      </c>
      <c r="E204" s="274">
        <f t="shared" si="29"/>
        <v>994</v>
      </c>
      <c r="F204" s="273">
        <f t="shared" si="30"/>
        <v>7.6614767997533528E-2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2085</v>
      </c>
      <c r="D205" s="274">
        <f t="shared" si="28"/>
        <v>2121</v>
      </c>
      <c r="E205" s="274">
        <f t="shared" si="29"/>
        <v>36</v>
      </c>
      <c r="F205" s="273">
        <f t="shared" si="30"/>
        <v>1.7266187050359712E-2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1012</v>
      </c>
      <c r="D206" s="274">
        <f t="shared" si="28"/>
        <v>985</v>
      </c>
      <c r="E206" s="274">
        <f t="shared" si="29"/>
        <v>-27</v>
      </c>
      <c r="F206" s="273">
        <f t="shared" si="30"/>
        <v>-2.66798418972332E-2</v>
      </c>
    </row>
    <row r="207" spans="1:9" ht="20.25" customHeight="1" x14ac:dyDescent="0.3">
      <c r="A207" s="271"/>
      <c r="B207" s="262" t="s">
        <v>471</v>
      </c>
      <c r="C207" s="263">
        <f>+C198+C200</f>
        <v>78420952</v>
      </c>
      <c r="D207" s="263">
        <f>+D198+D200</f>
        <v>82303635</v>
      </c>
      <c r="E207" s="263">
        <f t="shared" si="29"/>
        <v>3882683</v>
      </c>
      <c r="F207" s="273">
        <f t="shared" si="30"/>
        <v>4.9510786352096312E-2</v>
      </c>
    </row>
    <row r="208" spans="1:9" ht="20.25" customHeight="1" x14ac:dyDescent="0.3">
      <c r="A208" s="271"/>
      <c r="B208" s="262" t="s">
        <v>472</v>
      </c>
      <c r="C208" s="263">
        <f>+C199+C201</f>
        <v>16817399</v>
      </c>
      <c r="D208" s="263">
        <f>+D199+D201</f>
        <v>18125717</v>
      </c>
      <c r="E208" s="263">
        <f t="shared" si="29"/>
        <v>1308318</v>
      </c>
      <c r="F208" s="273">
        <f t="shared" si="30"/>
        <v>7.7795502146318821E-2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75" bottom="0.75" header="0.3" footer="0.3"/>
  <pageSetup scale="52" fitToHeight="0" orientation="portrait" r:id="rId1"/>
  <headerFooter>
    <oddHeader>&amp;LOFFICE OF HEALTH CARE ACCESS&amp;CTWELVE MONTHS ACTUAL FILING&amp;RGRIFFIN HOSPITAL</oddHeader>
    <oddFooter>&amp;LREPORT 200&amp;C&amp;P of &amp;N&amp;R&amp;D,&amp;T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75" bottom="0.75" header="0.3" footer="0.3"/>
  <pageSetup scale="57" fitToHeight="0" orientation="portrait" r:id="rId1"/>
  <headerFooter>
    <oddHeader>&amp;LOFFICE OF HEALTH CARE ACCESS&amp;CTWELVE MONTHS ACTUAL FILING&amp;RGRIFFIN HOSPITAL</oddHeader>
    <oddFooter>&amp;LREPORT 250&amp;C&amp;P of &amp;N&amp;R&amp;D,&amp;T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opLeftCell="A25"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11774575</v>
      </c>
      <c r="D13" s="22">
        <v>13473553</v>
      </c>
      <c r="E13" s="22">
        <f t="shared" ref="E13:E22" si="0">D13-C13</f>
        <v>1698978</v>
      </c>
      <c r="F13" s="306">
        <f t="shared" ref="F13:F22" si="1">IF(C13=0,0,E13/C13)</f>
        <v>0.14429208697553839</v>
      </c>
    </row>
    <row r="14" spans="1:8" ht="24" customHeight="1" x14ac:dyDescent="0.2">
      <c r="A14" s="304">
        <v>2</v>
      </c>
      <c r="B14" s="305" t="s">
        <v>17</v>
      </c>
      <c r="C14" s="22">
        <v>34851842</v>
      </c>
      <c r="D14" s="22">
        <v>33290380</v>
      </c>
      <c r="E14" s="22">
        <f t="shared" si="0"/>
        <v>-1561462</v>
      </c>
      <c r="F14" s="306">
        <f t="shared" si="1"/>
        <v>-4.4802854322592192E-2</v>
      </c>
    </row>
    <row r="15" spans="1:8" ht="35.1" customHeight="1" x14ac:dyDescent="0.2">
      <c r="A15" s="304">
        <v>3</v>
      </c>
      <c r="B15" s="305" t="s">
        <v>18</v>
      </c>
      <c r="C15" s="22">
        <v>13863865</v>
      </c>
      <c r="D15" s="22">
        <v>13857567</v>
      </c>
      <c r="E15" s="22">
        <f t="shared" si="0"/>
        <v>-6298</v>
      </c>
      <c r="F15" s="306">
        <f t="shared" si="1"/>
        <v>-4.5427447540783182E-4</v>
      </c>
    </row>
    <row r="16" spans="1:8" ht="35.1" customHeight="1" x14ac:dyDescent="0.2">
      <c r="A16" s="304">
        <v>4</v>
      </c>
      <c r="B16" s="305" t="s">
        <v>19</v>
      </c>
      <c r="C16" s="22">
        <v>724768</v>
      </c>
      <c r="D16" s="22">
        <v>757551</v>
      </c>
      <c r="E16" s="22">
        <f t="shared" si="0"/>
        <v>32783</v>
      </c>
      <c r="F16" s="306">
        <f t="shared" si="1"/>
        <v>4.5232405404212105E-2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1524437</v>
      </c>
      <c r="D19" s="22">
        <v>1588624</v>
      </c>
      <c r="E19" s="22">
        <f t="shared" si="0"/>
        <v>64187</v>
      </c>
      <c r="F19" s="306">
        <f t="shared" si="1"/>
        <v>4.2105380543767959E-2</v>
      </c>
    </row>
    <row r="20" spans="1:11" ht="24" customHeight="1" x14ac:dyDescent="0.2">
      <c r="A20" s="304">
        <v>8</v>
      </c>
      <c r="B20" s="305" t="s">
        <v>23</v>
      </c>
      <c r="C20" s="22">
        <v>3191718</v>
      </c>
      <c r="D20" s="22">
        <v>1881763</v>
      </c>
      <c r="E20" s="22">
        <f t="shared" si="0"/>
        <v>-1309955</v>
      </c>
      <c r="F20" s="306">
        <f t="shared" si="1"/>
        <v>-0.41042316395120121</v>
      </c>
    </row>
    <row r="21" spans="1:11" ht="24" customHeight="1" x14ac:dyDescent="0.2">
      <c r="A21" s="304">
        <v>9</v>
      </c>
      <c r="B21" s="305" t="s">
        <v>24</v>
      </c>
      <c r="C21" s="22">
        <v>4330731</v>
      </c>
      <c r="D21" s="22">
        <v>3040772</v>
      </c>
      <c r="E21" s="22">
        <f t="shared" si="0"/>
        <v>-1289959</v>
      </c>
      <c r="F21" s="306">
        <f t="shared" si="1"/>
        <v>-0.29786172357507312</v>
      </c>
    </row>
    <row r="22" spans="1:11" ht="24" customHeight="1" x14ac:dyDescent="0.25">
      <c r="A22" s="307"/>
      <c r="B22" s="308" t="s">
        <v>25</v>
      </c>
      <c r="C22" s="309">
        <f>SUM(C13:C21)</f>
        <v>70261936</v>
      </c>
      <c r="D22" s="309">
        <f>SUM(D13:D21)</f>
        <v>67890210</v>
      </c>
      <c r="E22" s="309">
        <f t="shared" si="0"/>
        <v>-2371726</v>
      </c>
      <c r="F22" s="310">
        <f t="shared" si="1"/>
        <v>-3.3755488889460721E-2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3450227</v>
      </c>
      <c r="D25" s="22">
        <v>3581854</v>
      </c>
      <c r="E25" s="22">
        <f>D25-C25</f>
        <v>131627</v>
      </c>
      <c r="F25" s="306">
        <f>IF(C25=0,0,E25/C25)</f>
        <v>3.8150243447749962E-2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1212451</v>
      </c>
      <c r="D26" s="22">
        <v>1306420</v>
      </c>
      <c r="E26" s="22">
        <f>D26-C26</f>
        <v>93969</v>
      </c>
      <c r="F26" s="306">
        <f>IF(C26=0,0,E26/C26)</f>
        <v>7.750333827923768E-2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50430</v>
      </c>
      <c r="D27" s="22">
        <v>50533</v>
      </c>
      <c r="E27" s="22">
        <f>D27-C27</f>
        <v>103</v>
      </c>
      <c r="F27" s="306">
        <f>IF(C27=0,0,E27/C27)</f>
        <v>2.0424350584969265E-3</v>
      </c>
    </row>
    <row r="28" spans="1:11" ht="35.1" customHeight="1" x14ac:dyDescent="0.2">
      <c r="A28" s="304">
        <v>4</v>
      </c>
      <c r="B28" s="305" t="s">
        <v>31</v>
      </c>
      <c r="C28" s="22">
        <v>4289023</v>
      </c>
      <c r="D28" s="22">
        <v>4235986</v>
      </c>
      <c r="E28" s="22">
        <f>D28-C28</f>
        <v>-53037</v>
      </c>
      <c r="F28" s="306">
        <f>IF(C28=0,0,E28/C28)</f>
        <v>-1.2365753226317508E-2</v>
      </c>
    </row>
    <row r="29" spans="1:11" ht="35.1" customHeight="1" x14ac:dyDescent="0.25">
      <c r="A29" s="307"/>
      <c r="B29" s="308" t="s">
        <v>32</v>
      </c>
      <c r="C29" s="309">
        <f>SUM(C25:C28)</f>
        <v>9002131</v>
      </c>
      <c r="D29" s="309">
        <f>SUM(D25:D28)</f>
        <v>9174793</v>
      </c>
      <c r="E29" s="309">
        <f>D29-C29</f>
        <v>172662</v>
      </c>
      <c r="F29" s="310">
        <f>IF(C29=0,0,E29/C29)</f>
        <v>1.918012523923502E-2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4067953</v>
      </c>
      <c r="D32" s="22">
        <v>4892586</v>
      </c>
      <c r="E32" s="22">
        <f>D32-C32</f>
        <v>824633</v>
      </c>
      <c r="F32" s="306">
        <f>IF(C32=0,0,E32/C32)</f>
        <v>0.20271448563933753</v>
      </c>
    </row>
    <row r="33" spans="1:8" ht="24" customHeight="1" x14ac:dyDescent="0.2">
      <c r="A33" s="304">
        <v>7</v>
      </c>
      <c r="B33" s="305" t="s">
        <v>35</v>
      </c>
      <c r="C33" s="22">
        <v>10845617</v>
      </c>
      <c r="D33" s="22">
        <v>11049219</v>
      </c>
      <c r="E33" s="22">
        <f>D33-C33</f>
        <v>203602</v>
      </c>
      <c r="F33" s="306">
        <f>IF(C33=0,0,E33/C33)</f>
        <v>1.8772744787133824E-2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162617356</v>
      </c>
      <c r="D36" s="22">
        <v>165996999</v>
      </c>
      <c r="E36" s="22">
        <f>D36-C36</f>
        <v>3379643</v>
      </c>
      <c r="F36" s="306">
        <f>IF(C36=0,0,E36/C36)</f>
        <v>2.0782793934984407E-2</v>
      </c>
    </row>
    <row r="37" spans="1:8" ht="24" customHeight="1" x14ac:dyDescent="0.2">
      <c r="A37" s="304">
        <v>2</v>
      </c>
      <c r="B37" s="305" t="s">
        <v>39</v>
      </c>
      <c r="C37" s="22">
        <v>106114939</v>
      </c>
      <c r="D37" s="22">
        <v>107803172</v>
      </c>
      <c r="E37" s="22">
        <f>D37-C37</f>
        <v>1688233</v>
      </c>
      <c r="F37" s="22">
        <f>IF(C37=0,0,E37/C37)</f>
        <v>1.5909475290750531E-2</v>
      </c>
    </row>
    <row r="38" spans="1:8" ht="24" customHeight="1" x14ac:dyDescent="0.25">
      <c r="A38" s="307"/>
      <c r="B38" s="308" t="s">
        <v>40</v>
      </c>
      <c r="C38" s="309">
        <f>C36-C37</f>
        <v>56502417</v>
      </c>
      <c r="D38" s="309">
        <f>D36-D37</f>
        <v>58193827</v>
      </c>
      <c r="E38" s="309">
        <f>D38-C38</f>
        <v>1691410</v>
      </c>
      <c r="F38" s="310">
        <f>IF(C38=0,0,E38/C38)</f>
        <v>2.9935179587096246E-2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1292037</v>
      </c>
      <c r="D40" s="22">
        <v>268140</v>
      </c>
      <c r="E40" s="22">
        <f>D40-C40</f>
        <v>-1023897</v>
      </c>
      <c r="F40" s="306">
        <f>IF(C40=0,0,E40/C40)</f>
        <v>-0.79246724358512954</v>
      </c>
    </row>
    <row r="41" spans="1:8" ht="24" customHeight="1" x14ac:dyDescent="0.25">
      <c r="A41" s="307"/>
      <c r="B41" s="308" t="s">
        <v>42</v>
      </c>
      <c r="C41" s="309">
        <f>+C38+C40</f>
        <v>57794454</v>
      </c>
      <c r="D41" s="309">
        <f>+D38+D40</f>
        <v>58461967</v>
      </c>
      <c r="E41" s="309">
        <f>D41-C41</f>
        <v>667513</v>
      </c>
      <c r="F41" s="310">
        <f>IF(C41=0,0,E41/C41)</f>
        <v>1.1549776039064232E-2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151972091</v>
      </c>
      <c r="D43" s="309">
        <f>D22+D29+D31+D32+D33+D41</f>
        <v>151468775</v>
      </c>
      <c r="E43" s="309">
        <f>D43-C43</f>
        <v>-503316</v>
      </c>
      <c r="F43" s="310">
        <f>IF(C43=0,0,E43/C43)</f>
        <v>-3.3118975772992425E-3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24263458</v>
      </c>
      <c r="D49" s="22">
        <v>22654397</v>
      </c>
      <c r="E49" s="22">
        <f t="shared" ref="E49:E56" si="2">D49-C49</f>
        <v>-1609061</v>
      </c>
      <c r="F49" s="306">
        <f t="shared" ref="F49:F56" si="3">IF(C49=0,0,E49/C49)</f>
        <v>-6.6316227472605099E-2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3139108</v>
      </c>
      <c r="D50" s="22">
        <v>2542621</v>
      </c>
      <c r="E50" s="22">
        <f t="shared" si="2"/>
        <v>-596487</v>
      </c>
      <c r="F50" s="306">
        <f t="shared" si="3"/>
        <v>-0.19001799237235545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1153146</v>
      </c>
      <c r="D51" s="22">
        <v>357083</v>
      </c>
      <c r="E51" s="22">
        <f t="shared" si="2"/>
        <v>-796063</v>
      </c>
      <c r="F51" s="306">
        <f t="shared" si="3"/>
        <v>-0.69034016507883655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5093806</v>
      </c>
      <c r="D53" s="22">
        <v>5112504</v>
      </c>
      <c r="E53" s="22">
        <f t="shared" si="2"/>
        <v>18698</v>
      </c>
      <c r="F53" s="306">
        <f t="shared" si="3"/>
        <v>3.670732650595645E-3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2942695</v>
      </c>
      <c r="D55" s="22">
        <v>3290785</v>
      </c>
      <c r="E55" s="22">
        <f t="shared" si="2"/>
        <v>348090</v>
      </c>
      <c r="F55" s="306">
        <f t="shared" si="3"/>
        <v>0.11828952711714942</v>
      </c>
    </row>
    <row r="56" spans="1:6" ht="24" customHeight="1" x14ac:dyDescent="0.25">
      <c r="A56" s="307"/>
      <c r="B56" s="308" t="s">
        <v>54</v>
      </c>
      <c r="C56" s="309">
        <f>SUM(C49:C55)</f>
        <v>36592213</v>
      </c>
      <c r="D56" s="309">
        <f>SUM(D49:D55)</f>
        <v>33957390</v>
      </c>
      <c r="E56" s="309">
        <f t="shared" si="2"/>
        <v>-2634823</v>
      </c>
      <c r="F56" s="310">
        <f t="shared" si="3"/>
        <v>-7.2005019209961427E-2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43903244</v>
      </c>
      <c r="D59" s="22">
        <v>40934929</v>
      </c>
      <c r="E59" s="22">
        <f>D59-C59</f>
        <v>-2968315</v>
      </c>
      <c r="F59" s="306">
        <f>IF(C59=0,0,E59/C59)</f>
        <v>-6.7610379770570023E-2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43903244</v>
      </c>
      <c r="D61" s="309">
        <f>SUM(D59:D60)</f>
        <v>40934929</v>
      </c>
      <c r="E61" s="309">
        <f>D61-C61</f>
        <v>-2968315</v>
      </c>
      <c r="F61" s="310">
        <f>IF(C61=0,0,E61/C61)</f>
        <v>-6.7610379770570023E-2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45060464</v>
      </c>
      <c r="D63" s="22">
        <v>49234443</v>
      </c>
      <c r="E63" s="22">
        <f>D63-C63</f>
        <v>4173979</v>
      </c>
      <c r="F63" s="306">
        <f>IF(C63=0,0,E63/C63)</f>
        <v>9.2630626262525842E-2</v>
      </c>
    </row>
    <row r="64" spans="1:6" ht="24" customHeight="1" x14ac:dyDescent="0.2">
      <c r="A64" s="304">
        <v>4</v>
      </c>
      <c r="B64" s="305" t="s">
        <v>60</v>
      </c>
      <c r="C64" s="22">
        <v>51553126</v>
      </c>
      <c r="D64" s="22">
        <v>52555164</v>
      </c>
      <c r="E64" s="22">
        <f>D64-C64</f>
        <v>1002038</v>
      </c>
      <c r="F64" s="306">
        <f>IF(C64=0,0,E64/C64)</f>
        <v>1.9436997865076116E-2</v>
      </c>
    </row>
    <row r="65" spans="1:6" ht="24" customHeight="1" x14ac:dyDescent="0.25">
      <c r="A65" s="307"/>
      <c r="B65" s="308" t="s">
        <v>61</v>
      </c>
      <c r="C65" s="309">
        <f>SUM(C61:C64)</f>
        <v>140516834</v>
      </c>
      <c r="D65" s="309">
        <f>SUM(D61:D64)</f>
        <v>142724536</v>
      </c>
      <c r="E65" s="309">
        <f>D65-C65</f>
        <v>2207702</v>
      </c>
      <c r="F65" s="310">
        <f>IF(C65=0,0,E65/C65)</f>
        <v>1.5711299046205381E-2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-1057961</v>
      </c>
      <c r="D67" s="22">
        <v>-108506</v>
      </c>
      <c r="E67" s="22">
        <f>D67-C67</f>
        <v>949455</v>
      </c>
      <c r="F67" s="321">
        <f>IF(C67=0,0,E67/C67)</f>
        <v>-0.89743856342530581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-33789551</v>
      </c>
      <c r="D70" s="22">
        <v>-33611886</v>
      </c>
      <c r="E70" s="22">
        <f>D70-C70</f>
        <v>177665</v>
      </c>
      <c r="F70" s="306">
        <f>IF(C70=0,0,E70/C70)</f>
        <v>-5.2579864112429313E-3</v>
      </c>
    </row>
    <row r="71" spans="1:6" ht="24" customHeight="1" x14ac:dyDescent="0.2">
      <c r="A71" s="304">
        <v>2</v>
      </c>
      <c r="B71" s="305" t="s">
        <v>65</v>
      </c>
      <c r="C71" s="22">
        <v>4100068</v>
      </c>
      <c r="D71" s="22">
        <v>2765126</v>
      </c>
      <c r="E71" s="22">
        <f>D71-C71</f>
        <v>-1334942</v>
      </c>
      <c r="F71" s="306">
        <f>IF(C71=0,0,E71/C71)</f>
        <v>-0.32559020972335095</v>
      </c>
    </row>
    <row r="72" spans="1:6" ht="24" customHeight="1" x14ac:dyDescent="0.2">
      <c r="A72" s="304">
        <v>3</v>
      </c>
      <c r="B72" s="305" t="s">
        <v>66</v>
      </c>
      <c r="C72" s="22">
        <v>5610488</v>
      </c>
      <c r="D72" s="22">
        <v>5742115</v>
      </c>
      <c r="E72" s="22">
        <f>D72-C72</f>
        <v>131627</v>
      </c>
      <c r="F72" s="306">
        <f>IF(C72=0,0,E72/C72)</f>
        <v>2.3460882547115331E-2</v>
      </c>
    </row>
    <row r="73" spans="1:6" ht="24" customHeight="1" x14ac:dyDescent="0.25">
      <c r="A73" s="304"/>
      <c r="B73" s="308" t="s">
        <v>67</v>
      </c>
      <c r="C73" s="309">
        <f>SUM(C70:C72)</f>
        <v>-24078995</v>
      </c>
      <c r="D73" s="309">
        <f>SUM(D70:D72)</f>
        <v>-25104645</v>
      </c>
      <c r="E73" s="309">
        <f>D73-C73</f>
        <v>-1025650</v>
      </c>
      <c r="F73" s="310">
        <f>IF(C73=0,0,E73/C73)</f>
        <v>4.2595216287058493E-2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151972091</v>
      </c>
      <c r="D75" s="309">
        <f>D56+D65+D67+D73</f>
        <v>151468775</v>
      </c>
      <c r="E75" s="309">
        <f>D75-C75</f>
        <v>-503316</v>
      </c>
      <c r="F75" s="310">
        <f>IF(C75=0,0,E75/C75)</f>
        <v>-3.3118975772992425E-3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0" fitToHeight="0" orientation="portrait" r:id="rId1"/>
  <headerFooter>
    <oddHeader>&amp;LOFFICE OF HEALTH CARE ACCESS&amp;CTWELVE MONTHS ACTUAL FILING&amp;RGRIFFIN HEALTH SERVICES CORPORATION</oddHeader>
    <oddFooter>&amp;LREPORT 300&amp;CPAGE &amp;P of &amp;N&amp;R&amp;D,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535683242</v>
      </c>
      <c r="D11" s="76">
        <v>581826227</v>
      </c>
      <c r="E11" s="76">
        <f t="shared" ref="E11:E20" si="0">D11-C11</f>
        <v>46142985</v>
      </c>
      <c r="F11" s="77">
        <f t="shared" ref="F11:F20" si="1">IF(C11=0,0,E11/C11)</f>
        <v>8.6138563580452646E-2</v>
      </c>
    </row>
    <row r="12" spans="1:7" ht="23.1" customHeight="1" x14ac:dyDescent="0.2">
      <c r="A12" s="74">
        <v>2</v>
      </c>
      <c r="B12" s="75" t="s">
        <v>72</v>
      </c>
      <c r="C12" s="76">
        <v>378943996</v>
      </c>
      <c r="D12" s="76">
        <v>405514816</v>
      </c>
      <c r="E12" s="76">
        <f t="shared" si="0"/>
        <v>26570820</v>
      </c>
      <c r="F12" s="77">
        <f t="shared" si="1"/>
        <v>7.0118065678496724E-2</v>
      </c>
    </row>
    <row r="13" spans="1:7" ht="23.1" customHeight="1" x14ac:dyDescent="0.2">
      <c r="A13" s="74">
        <v>3</v>
      </c>
      <c r="B13" s="75" t="s">
        <v>73</v>
      </c>
      <c r="C13" s="76">
        <v>3122499</v>
      </c>
      <c r="D13" s="76">
        <v>3734054</v>
      </c>
      <c r="E13" s="76">
        <f t="shared" si="0"/>
        <v>611555</v>
      </c>
      <c r="F13" s="77">
        <f t="shared" si="1"/>
        <v>0.19585434615031103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153616747</v>
      </c>
      <c r="D15" s="79">
        <f>D11-D12-D13-D14</f>
        <v>172577357</v>
      </c>
      <c r="E15" s="79">
        <f t="shared" si="0"/>
        <v>18960610</v>
      </c>
      <c r="F15" s="80">
        <f t="shared" si="1"/>
        <v>0.12342801400422833</v>
      </c>
    </row>
    <row r="16" spans="1:7" ht="23.1" customHeight="1" x14ac:dyDescent="0.2">
      <c r="A16" s="74">
        <v>5</v>
      </c>
      <c r="B16" s="75" t="s">
        <v>76</v>
      </c>
      <c r="C16" s="76">
        <v>1951079</v>
      </c>
      <c r="D16" s="76">
        <v>2179430</v>
      </c>
      <c r="E16" s="76">
        <f t="shared" si="0"/>
        <v>228351</v>
      </c>
      <c r="F16" s="77">
        <f t="shared" si="1"/>
        <v>0.1170383157217109</v>
      </c>
      <c r="G16" s="65"/>
    </row>
    <row r="17" spans="1:7" ht="31.5" customHeight="1" x14ac:dyDescent="0.25">
      <c r="A17" s="71"/>
      <c r="B17" s="81" t="s">
        <v>77</v>
      </c>
      <c r="C17" s="79">
        <f>C15-C16</f>
        <v>151665668</v>
      </c>
      <c r="D17" s="79">
        <f>D15-D16</f>
        <v>170397927</v>
      </c>
      <c r="E17" s="79">
        <f t="shared" si="0"/>
        <v>18732259</v>
      </c>
      <c r="F17" s="80">
        <f t="shared" si="1"/>
        <v>0.12351021326725044</v>
      </c>
    </row>
    <row r="18" spans="1:7" ht="23.1" customHeight="1" x14ac:dyDescent="0.2">
      <c r="A18" s="74">
        <v>6</v>
      </c>
      <c r="B18" s="75" t="s">
        <v>78</v>
      </c>
      <c r="C18" s="76">
        <v>15016680</v>
      </c>
      <c r="D18" s="76">
        <v>12737082</v>
      </c>
      <c r="E18" s="76">
        <f t="shared" si="0"/>
        <v>-2279598</v>
      </c>
      <c r="F18" s="77">
        <f t="shared" si="1"/>
        <v>-0.15180439351441197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823654</v>
      </c>
      <c r="E19" s="76">
        <f t="shared" si="0"/>
        <v>823654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166682348</v>
      </c>
      <c r="D20" s="79">
        <f>SUM(D17:D19)</f>
        <v>183958663</v>
      </c>
      <c r="E20" s="79">
        <f t="shared" si="0"/>
        <v>17276315</v>
      </c>
      <c r="F20" s="80">
        <f t="shared" si="1"/>
        <v>0.10364813795399619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72195023</v>
      </c>
      <c r="D23" s="76">
        <v>78614408</v>
      </c>
      <c r="E23" s="76">
        <f t="shared" ref="E23:E32" si="2">D23-C23</f>
        <v>6419385</v>
      </c>
      <c r="F23" s="77">
        <f t="shared" ref="F23:F32" si="3">IF(C23=0,0,E23/C23)</f>
        <v>8.891727896533809E-2</v>
      </c>
    </row>
    <row r="24" spans="1:7" ht="23.1" customHeight="1" x14ac:dyDescent="0.2">
      <c r="A24" s="74">
        <v>2</v>
      </c>
      <c r="B24" s="75" t="s">
        <v>83</v>
      </c>
      <c r="C24" s="76">
        <v>20016207</v>
      </c>
      <c r="D24" s="76">
        <v>19233837</v>
      </c>
      <c r="E24" s="76">
        <f t="shared" si="2"/>
        <v>-782370</v>
      </c>
      <c r="F24" s="77">
        <f t="shared" si="3"/>
        <v>-3.9086825990558551E-2</v>
      </c>
    </row>
    <row r="25" spans="1:7" ht="23.1" customHeight="1" x14ac:dyDescent="0.2">
      <c r="A25" s="74">
        <v>3</v>
      </c>
      <c r="B25" s="75" t="s">
        <v>84</v>
      </c>
      <c r="C25" s="76">
        <v>5729084</v>
      </c>
      <c r="D25" s="76">
        <v>6478945</v>
      </c>
      <c r="E25" s="76">
        <f t="shared" si="2"/>
        <v>749861</v>
      </c>
      <c r="F25" s="77">
        <f t="shared" si="3"/>
        <v>0.1308867176672571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28109350</v>
      </c>
      <c r="D26" s="76">
        <v>29897841</v>
      </c>
      <c r="E26" s="76">
        <f t="shared" si="2"/>
        <v>1788491</v>
      </c>
      <c r="F26" s="77">
        <f t="shared" si="3"/>
        <v>6.3626195554148349E-2</v>
      </c>
    </row>
    <row r="27" spans="1:7" ht="23.1" customHeight="1" x14ac:dyDescent="0.2">
      <c r="A27" s="74">
        <v>5</v>
      </c>
      <c r="B27" s="75" t="s">
        <v>86</v>
      </c>
      <c r="C27" s="76">
        <v>4894145</v>
      </c>
      <c r="D27" s="76">
        <v>4749263</v>
      </c>
      <c r="E27" s="76">
        <f t="shared" si="2"/>
        <v>-144882</v>
      </c>
      <c r="F27" s="77">
        <f t="shared" si="3"/>
        <v>-2.9603127819057263E-2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2252819</v>
      </c>
      <c r="D29" s="76">
        <v>2254376</v>
      </c>
      <c r="E29" s="76">
        <f t="shared" si="2"/>
        <v>1557</v>
      </c>
      <c r="F29" s="77">
        <f t="shared" si="3"/>
        <v>6.9113408578318984E-4</v>
      </c>
    </row>
    <row r="30" spans="1:7" ht="23.1" customHeight="1" x14ac:dyDescent="0.2">
      <c r="A30" s="74">
        <v>8</v>
      </c>
      <c r="B30" s="75" t="s">
        <v>89</v>
      </c>
      <c r="C30" s="76">
        <v>536009</v>
      </c>
      <c r="D30" s="76">
        <v>1441982</v>
      </c>
      <c r="E30" s="76">
        <f t="shared" si="2"/>
        <v>905973</v>
      </c>
      <c r="F30" s="77">
        <f t="shared" si="3"/>
        <v>1.6902197537727912</v>
      </c>
    </row>
    <row r="31" spans="1:7" ht="23.1" customHeight="1" x14ac:dyDescent="0.2">
      <c r="A31" s="74">
        <v>9</v>
      </c>
      <c r="B31" s="75" t="s">
        <v>90</v>
      </c>
      <c r="C31" s="76">
        <v>32154796</v>
      </c>
      <c r="D31" s="76">
        <v>31327450</v>
      </c>
      <c r="E31" s="76">
        <f t="shared" si="2"/>
        <v>-827346</v>
      </c>
      <c r="F31" s="77">
        <f t="shared" si="3"/>
        <v>-2.5730096375047754E-2</v>
      </c>
    </row>
    <row r="32" spans="1:7" ht="23.1" customHeight="1" x14ac:dyDescent="0.25">
      <c r="A32" s="71"/>
      <c r="B32" s="78" t="s">
        <v>91</v>
      </c>
      <c r="C32" s="79">
        <f>SUM(C23:C31)</f>
        <v>165887433</v>
      </c>
      <c r="D32" s="79">
        <f>SUM(D23:D31)</f>
        <v>173998102</v>
      </c>
      <c r="E32" s="79">
        <f t="shared" si="2"/>
        <v>8110669</v>
      </c>
      <c r="F32" s="80">
        <f t="shared" si="3"/>
        <v>4.8892606590639084E-2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794915</v>
      </c>
      <c r="D34" s="79">
        <f>+D20-D32</f>
        <v>9960561</v>
      </c>
      <c r="E34" s="79">
        <f>D34-C34</f>
        <v>9165646</v>
      </c>
      <c r="F34" s="80">
        <f>IF(C34=0,0,E34/C34)</f>
        <v>11.530347269833882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660172</v>
      </c>
      <c r="D37" s="76">
        <v>3077802</v>
      </c>
      <c r="E37" s="76">
        <f>D37-C37</f>
        <v>2417630</v>
      </c>
      <c r="F37" s="77">
        <f>IF(C37=0,0,E37/C37)</f>
        <v>3.662121386547748</v>
      </c>
    </row>
    <row r="38" spans="1:6" ht="23.1" customHeight="1" x14ac:dyDescent="0.2">
      <c r="A38" s="85">
        <v>2</v>
      </c>
      <c r="B38" s="75" t="s">
        <v>95</v>
      </c>
      <c r="C38" s="76">
        <v>323106</v>
      </c>
      <c r="D38" s="76">
        <v>277938</v>
      </c>
      <c r="E38" s="76">
        <f>D38-C38</f>
        <v>-45168</v>
      </c>
      <c r="F38" s="77">
        <f>IF(C38=0,0,E38/C38)</f>
        <v>-0.13979313290375295</v>
      </c>
    </row>
    <row r="39" spans="1:6" ht="23.1" customHeight="1" x14ac:dyDescent="0.2">
      <c r="A39" s="85">
        <v>3</v>
      </c>
      <c r="B39" s="75" t="s">
        <v>96</v>
      </c>
      <c r="C39" s="76">
        <v>-1882268</v>
      </c>
      <c r="D39" s="76">
        <v>-2144683</v>
      </c>
      <c r="E39" s="76">
        <f>D39-C39</f>
        <v>-262415</v>
      </c>
      <c r="F39" s="77">
        <f>IF(C39=0,0,E39/C39)</f>
        <v>0.1394142598184743</v>
      </c>
    </row>
    <row r="40" spans="1:6" ht="23.1" customHeight="1" x14ac:dyDescent="0.25">
      <c r="A40" s="83"/>
      <c r="B40" s="78" t="s">
        <v>97</v>
      </c>
      <c r="C40" s="79">
        <f>SUM(C37:C39)</f>
        <v>-898990</v>
      </c>
      <c r="D40" s="79">
        <f>SUM(D37:D39)</f>
        <v>1211057</v>
      </c>
      <c r="E40" s="79">
        <f>D40-C40</f>
        <v>2110047</v>
      </c>
      <c r="F40" s="80">
        <f>IF(C40=0,0,E40/C40)</f>
        <v>-2.3471306688617224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-104075</v>
      </c>
      <c r="D42" s="79">
        <f>D34+D40</f>
        <v>11171618</v>
      </c>
      <c r="E42" s="79">
        <f>D42-C42</f>
        <v>11275693</v>
      </c>
      <c r="F42" s="80">
        <f>IF(C42=0,0,E42/C42)</f>
        <v>-108.34199375450396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272087</v>
      </c>
      <c r="D46" s="76">
        <v>98691</v>
      </c>
      <c r="E46" s="76">
        <f>D46-C46</f>
        <v>-173396</v>
      </c>
      <c r="F46" s="77">
        <f>IF(C46=0,0,E46/C46)</f>
        <v>-0.63728145776902245</v>
      </c>
    </row>
    <row r="47" spans="1:6" ht="23.1" customHeight="1" x14ac:dyDescent="0.25">
      <c r="A47" s="83"/>
      <c r="B47" s="78" t="s">
        <v>102</v>
      </c>
      <c r="C47" s="79">
        <f>SUM(C45:C46)</f>
        <v>272087</v>
      </c>
      <c r="D47" s="79">
        <f>SUM(D45:D46)</f>
        <v>98691</v>
      </c>
      <c r="E47" s="79">
        <f>D47-C47</f>
        <v>-173396</v>
      </c>
      <c r="F47" s="80">
        <f>IF(C47=0,0,E47/C47)</f>
        <v>-0.63728145776902245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168012</v>
      </c>
      <c r="D49" s="79">
        <f>D42+D47</f>
        <v>11270309</v>
      </c>
      <c r="E49" s="79">
        <f>D49-C49</f>
        <v>11102297</v>
      </c>
      <c r="F49" s="80">
        <f>IF(C49=0,0,E49/C49)</f>
        <v>66.080381163250237</v>
      </c>
    </row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5" fitToHeight="0" orientation="portrait" r:id="rId1"/>
  <headerFooter>
    <oddHeader>&amp;L&amp;8OFFICE OF HEALTH CARE ACCESS&amp;C&amp;8TWELVE MONTHS ACTUAL FILING&amp;R&amp;8GRIFFIN HEALTH SERVICES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Fernandes, David</cp:lastModifiedBy>
  <cp:lastPrinted>2017-09-19T18:14:48Z</cp:lastPrinted>
  <dcterms:created xsi:type="dcterms:W3CDTF">2017-09-15T12:41:37Z</dcterms:created>
  <dcterms:modified xsi:type="dcterms:W3CDTF">2017-09-19T18:16:29Z</dcterms:modified>
</cp:coreProperties>
</file>