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sterti\Documents\"/>
    </mc:Choice>
  </mc:AlternateContent>
  <bookViews>
    <workbookView xWindow="0" yWindow="0" windowWidth="28800" windowHeight="13635" activeTab="1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 s="1"/>
  <c r="E92" i="22"/>
  <c r="D92" i="22"/>
  <c r="C92" i="22"/>
  <c r="E91" i="22"/>
  <c r="E93" i="22"/>
  <c r="D91" i="22"/>
  <c r="D93" i="22" s="1"/>
  <c r="C91" i="22"/>
  <c r="C93" i="22"/>
  <c r="E87" i="22"/>
  <c r="D87" i="22"/>
  <c r="C87" i="22"/>
  <c r="E86" i="22"/>
  <c r="E88" i="22"/>
  <c r="D86" i="22"/>
  <c r="D88" i="22" s="1"/>
  <c r="C86" i="22"/>
  <c r="C88" i="22"/>
  <c r="E83" i="22"/>
  <c r="D83" i="22"/>
  <c r="C83" i="22"/>
  <c r="C101" i="22"/>
  <c r="E76" i="22"/>
  <c r="E102" i="22" s="1"/>
  <c r="E103" i="22" s="1"/>
  <c r="D76" i="22"/>
  <c r="C76" i="22"/>
  <c r="E75" i="22"/>
  <c r="E101" i="22" s="1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4" i="22"/>
  <c r="D12" i="22"/>
  <c r="C12" i="22"/>
  <c r="C22" i="22" s="1"/>
  <c r="D21" i="21"/>
  <c r="E21" i="21" s="1"/>
  <c r="F21" i="21" s="1"/>
  <c r="C21" i="21"/>
  <c r="D19" i="21"/>
  <c r="E19" i="21" s="1"/>
  <c r="C19" i="21"/>
  <c r="E17" i="21"/>
  <c r="F17" i="21" s="1"/>
  <c r="E15" i="21"/>
  <c r="F15" i="21"/>
  <c r="D45" i="20"/>
  <c r="D46" i="20" s="1"/>
  <c r="C45" i="20"/>
  <c r="D44" i="20"/>
  <c r="E44" i="20"/>
  <c r="C44" i="20"/>
  <c r="D43" i="20"/>
  <c r="C43" i="20"/>
  <c r="D36" i="20"/>
  <c r="D40" i="20" s="1"/>
  <c r="E40" i="20" s="1"/>
  <c r="F40" i="20" s="1"/>
  <c r="C36" i="20"/>
  <c r="C40" i="20" s="1"/>
  <c r="F35" i="20"/>
  <c r="E35" i="20"/>
  <c r="F34" i="20"/>
  <c r="E34" i="20"/>
  <c r="E33" i="20"/>
  <c r="E30" i="20"/>
  <c r="F30" i="20" s="1"/>
  <c r="E29" i="20"/>
  <c r="F29" i="20" s="1"/>
  <c r="E28" i="20"/>
  <c r="F28" i="20" s="1"/>
  <c r="E27" i="20"/>
  <c r="F27" i="20" s="1"/>
  <c r="D25" i="20"/>
  <c r="D39" i="20" s="1"/>
  <c r="C25" i="20"/>
  <c r="C39" i="20" s="1"/>
  <c r="F24" i="20"/>
  <c r="E24" i="20"/>
  <c r="E23" i="20"/>
  <c r="F23" i="20" s="1"/>
  <c r="E22" i="20"/>
  <c r="F22" i="20" s="1"/>
  <c r="D19" i="20"/>
  <c r="D20" i="20" s="1"/>
  <c r="C19" i="20"/>
  <c r="C20" i="20"/>
  <c r="E20" i="20" s="1"/>
  <c r="E18" i="20"/>
  <c r="F18" i="20" s="1"/>
  <c r="D16" i="20"/>
  <c r="E16" i="20" s="1"/>
  <c r="F16" i="20" s="1"/>
  <c r="C16" i="20"/>
  <c r="E15" i="20"/>
  <c r="F15" i="20" s="1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65" i="19" s="1"/>
  <c r="C114" i="19" s="1"/>
  <c r="C59" i="19"/>
  <c r="C60" i="19" s="1"/>
  <c r="C48" i="19"/>
  <c r="C64" i="19" s="1"/>
  <c r="C36" i="19"/>
  <c r="C32" i="19"/>
  <c r="C33" i="19" s="1"/>
  <c r="C21" i="19"/>
  <c r="E328" i="18"/>
  <c r="E325" i="18"/>
  <c r="D324" i="18"/>
  <c r="C324" i="18"/>
  <c r="E324" i="18" s="1"/>
  <c r="E318" i="18"/>
  <c r="E315" i="18"/>
  <c r="D314" i="18"/>
  <c r="C314" i="18"/>
  <c r="C316" i="18"/>
  <c r="E308" i="18"/>
  <c r="E305" i="18"/>
  <c r="D301" i="18"/>
  <c r="C301" i="18"/>
  <c r="D293" i="18"/>
  <c r="C293" i="18"/>
  <c r="E293" i="18" s="1"/>
  <c r="D292" i="18"/>
  <c r="C292" i="18"/>
  <c r="E292" i="18" s="1"/>
  <c r="D291" i="18"/>
  <c r="E291" i="18" s="1"/>
  <c r="C291" i="18"/>
  <c r="D290" i="18"/>
  <c r="E290" i="18" s="1"/>
  <c r="C290" i="18"/>
  <c r="D288" i="18"/>
  <c r="C288" i="18"/>
  <c r="E288" i="18" s="1"/>
  <c r="D287" i="18"/>
  <c r="C287" i="18"/>
  <c r="E287" i="18" s="1"/>
  <c r="D282" i="18"/>
  <c r="C282" i="18"/>
  <c r="D281" i="18"/>
  <c r="C281" i="18"/>
  <c r="E281" i="18" s="1"/>
  <c r="D280" i="18"/>
  <c r="C280" i="18"/>
  <c r="D279" i="18"/>
  <c r="C279" i="18"/>
  <c r="D278" i="18"/>
  <c r="C278" i="18"/>
  <c r="D277" i="18"/>
  <c r="C277" i="18"/>
  <c r="E277" i="18" s="1"/>
  <c r="D276" i="18"/>
  <c r="C276" i="18"/>
  <c r="E276" i="18" s="1"/>
  <c r="E270" i="18"/>
  <c r="D265" i="18"/>
  <c r="D302" i="18" s="1"/>
  <c r="C265" i="18"/>
  <c r="C302" i="18" s="1"/>
  <c r="C303" i="18" s="1"/>
  <c r="C306" i="18" s="1"/>
  <c r="C310" i="18" s="1"/>
  <c r="D262" i="18"/>
  <c r="C262" i="18"/>
  <c r="E262" i="18" s="1"/>
  <c r="D251" i="18"/>
  <c r="C251" i="18"/>
  <c r="D233" i="18"/>
  <c r="C233" i="18"/>
  <c r="D232" i="18"/>
  <c r="E232" i="18" s="1"/>
  <c r="C232" i="18"/>
  <c r="D231" i="18"/>
  <c r="C231" i="18"/>
  <c r="D230" i="18"/>
  <c r="C230" i="18"/>
  <c r="D228" i="18"/>
  <c r="E228" i="18"/>
  <c r="C228" i="18"/>
  <c r="D227" i="18"/>
  <c r="C227" i="18"/>
  <c r="D221" i="18"/>
  <c r="C221" i="18"/>
  <c r="C245" i="18"/>
  <c r="D220" i="18"/>
  <c r="C220" i="18"/>
  <c r="C244" i="18" s="1"/>
  <c r="D219" i="18"/>
  <c r="C219" i="18"/>
  <c r="C243" i="18"/>
  <c r="D218" i="18"/>
  <c r="C218" i="18"/>
  <c r="D216" i="18"/>
  <c r="C216" i="18"/>
  <c r="D215" i="18"/>
  <c r="C215" i="18"/>
  <c r="C239" i="18" s="1"/>
  <c r="E209" i="18"/>
  <c r="E208" i="18"/>
  <c r="E207" i="18"/>
  <c r="E206" i="18"/>
  <c r="D205" i="18"/>
  <c r="D210" i="18" s="1"/>
  <c r="E210" i="18" s="1"/>
  <c r="C205" i="18"/>
  <c r="E204" i="18"/>
  <c r="E203" i="18"/>
  <c r="E197" i="18"/>
  <c r="E196" i="18"/>
  <c r="D195" i="18"/>
  <c r="E195" i="18" s="1"/>
  <c r="D260" i="18"/>
  <c r="C195" i="18"/>
  <c r="C260" i="18" s="1"/>
  <c r="E194" i="18"/>
  <c r="E193" i="18"/>
  <c r="E192" i="18"/>
  <c r="E191" i="18"/>
  <c r="E190" i="18"/>
  <c r="D188" i="18"/>
  <c r="E188" i="18" s="1"/>
  <c r="D261" i="18"/>
  <c r="C188" i="18"/>
  <c r="C261" i="18" s="1"/>
  <c r="E186" i="18"/>
  <c r="E185" i="18"/>
  <c r="D179" i="18"/>
  <c r="C179" i="18"/>
  <c r="E179" i="18" s="1"/>
  <c r="D178" i="18"/>
  <c r="E178" i="18" s="1"/>
  <c r="C178" i="18"/>
  <c r="D177" i="18"/>
  <c r="C177" i="18"/>
  <c r="D176" i="18"/>
  <c r="C176" i="18"/>
  <c r="D174" i="18"/>
  <c r="C174" i="18"/>
  <c r="D173" i="18"/>
  <c r="E173" i="18"/>
  <c r="C173" i="18"/>
  <c r="D167" i="18"/>
  <c r="C167" i="18"/>
  <c r="E167" i="18"/>
  <c r="D166" i="18"/>
  <c r="C166" i="18"/>
  <c r="D165" i="18"/>
  <c r="C165" i="18"/>
  <c r="D164" i="18"/>
  <c r="E164" i="18"/>
  <c r="C164" i="18"/>
  <c r="D162" i="18"/>
  <c r="C162" i="18"/>
  <c r="E162" i="18" s="1"/>
  <c r="D161" i="18"/>
  <c r="E161" i="18" s="1"/>
  <c r="C161" i="18"/>
  <c r="E155" i="18"/>
  <c r="E154" i="18"/>
  <c r="E153" i="18"/>
  <c r="E152" i="18"/>
  <c r="D151" i="18"/>
  <c r="D156" i="18"/>
  <c r="C151" i="18"/>
  <c r="C156" i="18" s="1"/>
  <c r="C157" i="18" s="1"/>
  <c r="E150" i="18"/>
  <c r="E149" i="18"/>
  <c r="E143" i="18"/>
  <c r="E142" i="18"/>
  <c r="E141" i="18"/>
  <c r="E140" i="18"/>
  <c r="D139" i="18"/>
  <c r="D144" i="18" s="1"/>
  <c r="C139" i="18"/>
  <c r="E138" i="18"/>
  <c r="E137" i="18"/>
  <c r="D75" i="18"/>
  <c r="C75" i="18"/>
  <c r="D74" i="18"/>
  <c r="E74" i="18" s="1"/>
  <c r="C74" i="18"/>
  <c r="D73" i="18"/>
  <c r="E73" i="18" s="1"/>
  <c r="C73" i="18"/>
  <c r="D72" i="18"/>
  <c r="C72" i="18"/>
  <c r="D70" i="18"/>
  <c r="C70" i="18"/>
  <c r="D69" i="18"/>
  <c r="C69" i="18"/>
  <c r="E69" i="18" s="1"/>
  <c r="E64" i="18"/>
  <c r="E63" i="18"/>
  <c r="E62" i="18"/>
  <c r="E61" i="18"/>
  <c r="D60" i="18"/>
  <c r="D289" i="18"/>
  <c r="C60" i="18"/>
  <c r="E59" i="18"/>
  <c r="E58" i="18"/>
  <c r="D55" i="18"/>
  <c r="D54" i="18"/>
  <c r="C54" i="18"/>
  <c r="C283" i="18" s="1"/>
  <c r="C55" i="18"/>
  <c r="E55" i="18" s="1"/>
  <c r="E53" i="18"/>
  <c r="E52" i="18"/>
  <c r="E51" i="18"/>
  <c r="E50" i="18"/>
  <c r="E49" i="18"/>
  <c r="E48" i="18"/>
  <c r="E47" i="18"/>
  <c r="D42" i="18"/>
  <c r="C42" i="18"/>
  <c r="D41" i="18"/>
  <c r="E41" i="18"/>
  <c r="C41" i="18"/>
  <c r="D40" i="18"/>
  <c r="E40" i="18" s="1"/>
  <c r="C40" i="18"/>
  <c r="D39" i="18"/>
  <c r="C39" i="18"/>
  <c r="D38" i="18"/>
  <c r="D43" i="18" s="1"/>
  <c r="C38" i="18"/>
  <c r="D37" i="18"/>
  <c r="E37" i="18"/>
  <c r="C37" i="18"/>
  <c r="D36" i="18"/>
  <c r="C36" i="18"/>
  <c r="D32" i="18"/>
  <c r="D33" i="18" s="1"/>
  <c r="C32" i="18"/>
  <c r="C33" i="18" s="1"/>
  <c r="E31" i="18"/>
  <c r="E30" i="18"/>
  <c r="E29" i="18"/>
  <c r="E28" i="18"/>
  <c r="E27" i="18"/>
  <c r="E26" i="18"/>
  <c r="E25" i="18"/>
  <c r="C22" i="18"/>
  <c r="E22" i="18" s="1"/>
  <c r="D21" i="18"/>
  <c r="D22" i="18" s="1"/>
  <c r="C21" i="18"/>
  <c r="E20" i="18"/>
  <c r="E19" i="18"/>
  <c r="E18" i="18"/>
  <c r="E17" i="18"/>
  <c r="E16" i="18"/>
  <c r="E15" i="18"/>
  <c r="E14" i="18"/>
  <c r="E335" i="17"/>
  <c r="F335" i="17"/>
  <c r="F334" i="17"/>
  <c r="E334" i="17"/>
  <c r="E333" i="17"/>
  <c r="F333" i="17"/>
  <c r="F332" i="17"/>
  <c r="E332" i="17"/>
  <c r="E331" i="17"/>
  <c r="F331" i="17"/>
  <c r="E330" i="17"/>
  <c r="F330" i="17" s="1"/>
  <c r="F329" i="17"/>
  <c r="E329" i="17"/>
  <c r="F316" i="17"/>
  <c r="E316" i="17"/>
  <c r="D311" i="17"/>
  <c r="C311" i="17"/>
  <c r="F311" i="17"/>
  <c r="F308" i="17"/>
  <c r="E308" i="17"/>
  <c r="D307" i="17"/>
  <c r="C307" i="17"/>
  <c r="F307" i="17" s="1"/>
  <c r="D299" i="17"/>
  <c r="C299" i="17"/>
  <c r="D298" i="17"/>
  <c r="C298" i="17"/>
  <c r="F298" i="17" s="1"/>
  <c r="D297" i="17"/>
  <c r="C297" i="17"/>
  <c r="E297" i="17" s="1"/>
  <c r="F297" i="17" s="1"/>
  <c r="D296" i="17"/>
  <c r="C296" i="17"/>
  <c r="E296" i="17" s="1"/>
  <c r="D295" i="17"/>
  <c r="E295" i="17" s="1"/>
  <c r="C295" i="17"/>
  <c r="D294" i="17"/>
  <c r="C294" i="17"/>
  <c r="D250" i="17"/>
  <c r="D306" i="17"/>
  <c r="C250" i="17"/>
  <c r="E249" i="17"/>
  <c r="F249" i="17" s="1"/>
  <c r="E248" i="17"/>
  <c r="F248" i="17" s="1"/>
  <c r="F245" i="17"/>
  <c r="E245" i="17"/>
  <c r="E244" i="17"/>
  <c r="F244" i="17" s="1"/>
  <c r="E243" i="17"/>
  <c r="F243" i="17"/>
  <c r="D238" i="17"/>
  <c r="C238" i="17"/>
  <c r="C239" i="17" s="1"/>
  <c r="D237" i="17"/>
  <c r="E237" i="17" s="1"/>
  <c r="C237" i="17"/>
  <c r="E234" i="17"/>
  <c r="F234" i="17" s="1"/>
  <c r="E233" i="17"/>
  <c r="F233" i="17"/>
  <c r="D230" i="17"/>
  <c r="C230" i="17"/>
  <c r="D229" i="17"/>
  <c r="C229" i="17"/>
  <c r="E228" i="17"/>
  <c r="F228" i="17" s="1"/>
  <c r="D226" i="17"/>
  <c r="D227" i="17" s="1"/>
  <c r="C226" i="17"/>
  <c r="E225" i="17"/>
  <c r="F225" i="17"/>
  <c r="E224" i="17"/>
  <c r="F224" i="17" s="1"/>
  <c r="D223" i="17"/>
  <c r="E223" i="17" s="1"/>
  <c r="F223" i="17" s="1"/>
  <c r="C223" i="17"/>
  <c r="E222" i="17"/>
  <c r="F222" i="17" s="1"/>
  <c r="E221" i="17"/>
  <c r="F221" i="17"/>
  <c r="D204" i="17"/>
  <c r="D285" i="17"/>
  <c r="C204" i="17"/>
  <c r="D203" i="17"/>
  <c r="C203" i="17"/>
  <c r="D198" i="17"/>
  <c r="D290" i="17"/>
  <c r="C198" i="17"/>
  <c r="D191" i="17"/>
  <c r="D280" i="17"/>
  <c r="C191" i="17"/>
  <c r="D189" i="17"/>
  <c r="D262" i="17" s="1"/>
  <c r="D278" i="17"/>
  <c r="C189" i="17"/>
  <c r="D188" i="17"/>
  <c r="D261" i="17" s="1"/>
  <c r="C188" i="17"/>
  <c r="D180" i="17"/>
  <c r="C180" i="17"/>
  <c r="F180" i="17" s="1"/>
  <c r="D179" i="17"/>
  <c r="C179" i="17"/>
  <c r="D171" i="17"/>
  <c r="D172" i="17" s="1"/>
  <c r="D173" i="17" s="1"/>
  <c r="C171" i="17"/>
  <c r="D170" i="17"/>
  <c r="E170" i="17" s="1"/>
  <c r="C170" i="17"/>
  <c r="F170" i="17"/>
  <c r="F169" i="17"/>
  <c r="E169" i="17"/>
  <c r="F168" i="17"/>
  <c r="E168" i="17"/>
  <c r="D165" i="17"/>
  <c r="C165" i="17"/>
  <c r="F165" i="17" s="1"/>
  <c r="D164" i="17"/>
  <c r="E164" i="17" s="1"/>
  <c r="C164" i="17"/>
  <c r="F164" i="17" s="1"/>
  <c r="F163" i="17"/>
  <c r="E163" i="17"/>
  <c r="C159" i="17"/>
  <c r="D158" i="17"/>
  <c r="D159" i="17"/>
  <c r="C158" i="17"/>
  <c r="F158" i="17"/>
  <c r="F157" i="17"/>
  <c r="E157" i="17"/>
  <c r="F156" i="17"/>
  <c r="E156" i="17"/>
  <c r="D155" i="17"/>
  <c r="C155" i="17"/>
  <c r="F155" i="17" s="1"/>
  <c r="F154" i="17"/>
  <c r="E154" i="17"/>
  <c r="F153" i="17"/>
  <c r="E153" i="17"/>
  <c r="D145" i="17"/>
  <c r="C145" i="17"/>
  <c r="D144" i="17"/>
  <c r="C144" i="17"/>
  <c r="D136" i="17"/>
  <c r="D137" i="17"/>
  <c r="C136" i="17"/>
  <c r="D135" i="17"/>
  <c r="C135" i="17"/>
  <c r="E134" i="17"/>
  <c r="F134" i="17" s="1"/>
  <c r="E133" i="17"/>
  <c r="F133" i="17" s="1"/>
  <c r="D130" i="17"/>
  <c r="E130" i="17" s="1"/>
  <c r="F130" i="17" s="1"/>
  <c r="C130" i="17"/>
  <c r="D129" i="17"/>
  <c r="E129" i="17" s="1"/>
  <c r="F129" i="17" s="1"/>
  <c r="C129" i="17"/>
  <c r="E128" i="17"/>
  <c r="F128" i="17" s="1"/>
  <c r="D123" i="17"/>
  <c r="D192" i="17" s="1"/>
  <c r="C123" i="17"/>
  <c r="E122" i="17"/>
  <c r="F122" i="17"/>
  <c r="E121" i="17"/>
  <c r="F121" i="17"/>
  <c r="D120" i="17"/>
  <c r="C120" i="17"/>
  <c r="E120" i="17" s="1"/>
  <c r="F120" i="17" s="1"/>
  <c r="E119" i="17"/>
  <c r="F119" i="17" s="1"/>
  <c r="E118" i="17"/>
  <c r="F118" i="17" s="1"/>
  <c r="D110" i="17"/>
  <c r="C110" i="17"/>
  <c r="D109" i="17"/>
  <c r="E109" i="17" s="1"/>
  <c r="C109" i="17"/>
  <c r="D101" i="17"/>
  <c r="D102" i="17" s="1"/>
  <c r="D103" i="17" s="1"/>
  <c r="C101" i="17"/>
  <c r="C102" i="17" s="1"/>
  <c r="D100" i="17"/>
  <c r="E100" i="17" s="1"/>
  <c r="C100" i="17"/>
  <c r="E99" i="17"/>
  <c r="F99" i="17" s="1"/>
  <c r="E98" i="17"/>
  <c r="F98" i="17" s="1"/>
  <c r="D95" i="17"/>
  <c r="E95" i="17" s="1"/>
  <c r="C95" i="17"/>
  <c r="D94" i="17"/>
  <c r="E94" i="17" s="1"/>
  <c r="C94" i="17"/>
  <c r="E93" i="17"/>
  <c r="F93" i="17" s="1"/>
  <c r="D88" i="17"/>
  <c r="D89" i="17" s="1"/>
  <c r="C88" i="17"/>
  <c r="E87" i="17"/>
  <c r="F87" i="17"/>
  <c r="E86" i="17"/>
  <c r="F86" i="17" s="1"/>
  <c r="D85" i="17"/>
  <c r="C85" i="17"/>
  <c r="E84" i="17"/>
  <c r="F84" i="17" s="1"/>
  <c r="E83" i="17"/>
  <c r="F83" i="17"/>
  <c r="D76" i="17"/>
  <c r="C76" i="17"/>
  <c r="C77" i="17" s="1"/>
  <c r="E74" i="17"/>
  <c r="F74" i="17" s="1"/>
  <c r="E73" i="17"/>
  <c r="F73" i="17" s="1"/>
  <c r="D67" i="17"/>
  <c r="C67" i="17"/>
  <c r="D66" i="17"/>
  <c r="C66" i="17"/>
  <c r="D59" i="17"/>
  <c r="C59" i="17"/>
  <c r="D58" i="17"/>
  <c r="E58" i="17"/>
  <c r="C58" i="17"/>
  <c r="E57" i="17"/>
  <c r="F57" i="17" s="1"/>
  <c r="E56" i="17"/>
  <c r="F56" i="17"/>
  <c r="D53" i="17"/>
  <c r="C53" i="17"/>
  <c r="D52" i="17"/>
  <c r="E52" i="17"/>
  <c r="C52" i="17"/>
  <c r="E51" i="17"/>
  <c r="F51" i="17"/>
  <c r="D47" i="17"/>
  <c r="D48" i="17" s="1"/>
  <c r="D125" i="17" s="1"/>
  <c r="E47" i="17"/>
  <c r="F47" i="17" s="1"/>
  <c r="C47" i="17"/>
  <c r="C48" i="17" s="1"/>
  <c r="E46" i="17"/>
  <c r="F46" i="17" s="1"/>
  <c r="E45" i="17"/>
  <c r="F45" i="17" s="1"/>
  <c r="D44" i="17"/>
  <c r="C44" i="17"/>
  <c r="E43" i="17"/>
  <c r="F43" i="17"/>
  <c r="E42" i="17"/>
  <c r="F42" i="17" s="1"/>
  <c r="D36" i="17"/>
  <c r="C36" i="17"/>
  <c r="D35" i="17"/>
  <c r="C35" i="17"/>
  <c r="D30" i="17"/>
  <c r="E30" i="17"/>
  <c r="F30" i="17" s="1"/>
  <c r="C30" i="17"/>
  <c r="C31" i="17"/>
  <c r="D29" i="17"/>
  <c r="C29" i="17"/>
  <c r="E29" i="17" s="1"/>
  <c r="E28" i="17"/>
  <c r="F28" i="17" s="1"/>
  <c r="E27" i="17"/>
  <c r="F27" i="17" s="1"/>
  <c r="D24" i="17"/>
  <c r="E24" i="17" s="1"/>
  <c r="C24" i="17"/>
  <c r="D23" i="17"/>
  <c r="E23" i="17" s="1"/>
  <c r="C23" i="17"/>
  <c r="E22" i="17"/>
  <c r="F22" i="17" s="1"/>
  <c r="D20" i="17"/>
  <c r="D21" i="17" s="1"/>
  <c r="C20" i="17"/>
  <c r="E19" i="17"/>
  <c r="F19" i="17" s="1"/>
  <c r="E18" i="17"/>
  <c r="F18" i="17"/>
  <c r="D17" i="17"/>
  <c r="E17" i="17"/>
  <c r="C17" i="17"/>
  <c r="E16" i="17"/>
  <c r="F16" i="17" s="1"/>
  <c r="E15" i="17"/>
  <c r="F15" i="17"/>
  <c r="D21" i="16"/>
  <c r="C21" i="16"/>
  <c r="F20" i="16"/>
  <c r="E20" i="16"/>
  <c r="D17" i="16"/>
  <c r="C17" i="16"/>
  <c r="E16" i="16"/>
  <c r="F16" i="16" s="1"/>
  <c r="D13" i="16"/>
  <c r="C13" i="16"/>
  <c r="E12" i="16"/>
  <c r="F12" i="16" s="1"/>
  <c r="D107" i="15"/>
  <c r="C107" i="15"/>
  <c r="F106" i="15"/>
  <c r="E106" i="15"/>
  <c r="E105" i="15"/>
  <c r="F105" i="15" s="1"/>
  <c r="E104" i="15"/>
  <c r="F104" i="15" s="1"/>
  <c r="D100" i="15"/>
  <c r="E100" i="15"/>
  <c r="C100" i="15"/>
  <c r="E99" i="15"/>
  <c r="F99" i="15" s="1"/>
  <c r="E98" i="15"/>
  <c r="F98" i="15" s="1"/>
  <c r="F97" i="15"/>
  <c r="E97" i="15"/>
  <c r="E96" i="15"/>
  <c r="F96" i="15" s="1"/>
  <c r="E95" i="15"/>
  <c r="F95" i="15" s="1"/>
  <c r="D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 s="1"/>
  <c r="E73" i="15"/>
  <c r="F73" i="15" s="1"/>
  <c r="D70" i="15"/>
  <c r="C70" i="15"/>
  <c r="E70" i="15" s="1"/>
  <c r="F69" i="15"/>
  <c r="E69" i="15"/>
  <c r="F68" i="15"/>
  <c r="E68" i="15"/>
  <c r="D65" i="15"/>
  <c r="E65" i="15" s="1"/>
  <c r="C65" i="15"/>
  <c r="E64" i="15"/>
  <c r="F64" i="15" s="1"/>
  <c r="E63" i="15"/>
  <c r="F63" i="15" s="1"/>
  <c r="D60" i="15"/>
  <c r="C60" i="15"/>
  <c r="E59" i="15"/>
  <c r="F59" i="15" s="1"/>
  <c r="E58" i="15"/>
  <c r="D55" i="15"/>
  <c r="E55" i="15" s="1"/>
  <c r="C55" i="15"/>
  <c r="F55" i="15" s="1"/>
  <c r="F54" i="15"/>
  <c r="E54" i="15"/>
  <c r="F53" i="15"/>
  <c r="E53" i="15"/>
  <c r="D50" i="15"/>
  <c r="C50" i="15"/>
  <c r="F50" i="15" s="1"/>
  <c r="F49" i="15"/>
  <c r="E49" i="15"/>
  <c r="F48" i="15"/>
  <c r="E48" i="15"/>
  <c r="D45" i="15"/>
  <c r="E45" i="15" s="1"/>
  <c r="C45" i="15"/>
  <c r="F45" i="15" s="1"/>
  <c r="F44" i="15"/>
  <c r="E44" i="15"/>
  <c r="F43" i="15"/>
  <c r="E43" i="15"/>
  <c r="D37" i="15"/>
  <c r="C37" i="15"/>
  <c r="F36" i="15"/>
  <c r="E36" i="15"/>
  <c r="F35" i="15"/>
  <c r="E35" i="15"/>
  <c r="F34" i="15"/>
  <c r="E34" i="15"/>
  <c r="F33" i="15"/>
  <c r="E33" i="15"/>
  <c r="F30" i="15"/>
  <c r="D30" i="15"/>
  <c r="E30" i="15" s="1"/>
  <c r="C30" i="15"/>
  <c r="F29" i="15"/>
  <c r="E29" i="15"/>
  <c r="F28" i="15"/>
  <c r="E28" i="15"/>
  <c r="F27" i="15"/>
  <c r="E27" i="15"/>
  <c r="F26" i="15"/>
  <c r="E26" i="15"/>
  <c r="D23" i="15"/>
  <c r="C23" i="15"/>
  <c r="F22" i="15"/>
  <c r="E22" i="15"/>
  <c r="E21" i="15"/>
  <c r="F21" i="15" s="1"/>
  <c r="F20" i="15"/>
  <c r="E20" i="15"/>
  <c r="E19" i="15"/>
  <c r="F19" i="15" s="1"/>
  <c r="D16" i="15"/>
  <c r="E16" i="15" s="1"/>
  <c r="C16" i="15"/>
  <c r="F15" i="15"/>
  <c r="E15" i="15"/>
  <c r="E14" i="15"/>
  <c r="F14" i="15" s="1"/>
  <c r="F13" i="15"/>
  <c r="E13" i="15"/>
  <c r="E12" i="15"/>
  <c r="F12" i="15" s="1"/>
  <c r="I37" i="14"/>
  <c r="H37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H17" i="14" s="1"/>
  <c r="F33" i="14"/>
  <c r="F36" i="14" s="1"/>
  <c r="F38" i="14" s="1"/>
  <c r="F40" i="14" s="1"/>
  <c r="E17" i="14"/>
  <c r="E33" i="14" s="1"/>
  <c r="E36" i="14" s="1"/>
  <c r="E38" i="14" s="1"/>
  <c r="E40" i="14" s="1"/>
  <c r="D17" i="14"/>
  <c r="D33" i="14"/>
  <c r="D36" i="14" s="1"/>
  <c r="D38" i="14" s="1"/>
  <c r="D40" i="14" s="1"/>
  <c r="C17" i="14"/>
  <c r="C33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D78" i="13"/>
  <c r="D80" i="13"/>
  <c r="D77" i="13" s="1"/>
  <c r="C78" i="13"/>
  <c r="E73" i="13"/>
  <c r="E75" i="13" s="1"/>
  <c r="D73" i="13"/>
  <c r="D75" i="13" s="1"/>
  <c r="C73" i="13"/>
  <c r="C75" i="13" s="1"/>
  <c r="E71" i="13"/>
  <c r="D71" i="13"/>
  <c r="C71" i="13"/>
  <c r="E66" i="13"/>
  <c r="D66" i="13"/>
  <c r="D65" i="13" s="1"/>
  <c r="C66" i="13"/>
  <c r="C65" i="13" s="1"/>
  <c r="E65" i="13"/>
  <c r="E60" i="13"/>
  <c r="D60" i="13"/>
  <c r="C60" i="13"/>
  <c r="E58" i="13"/>
  <c r="D58" i="13"/>
  <c r="C58" i="13"/>
  <c r="E55" i="13"/>
  <c r="D55" i="13"/>
  <c r="C55" i="13"/>
  <c r="E54" i="13"/>
  <c r="D54" i="13"/>
  <c r="C54" i="13"/>
  <c r="E46" i="13"/>
  <c r="E59" i="13" s="1"/>
  <c r="D46" i="13"/>
  <c r="C46" i="13"/>
  <c r="E45" i="13"/>
  <c r="D45" i="13"/>
  <c r="C45" i="13"/>
  <c r="E38" i="13"/>
  <c r="D38" i="13"/>
  <c r="C38" i="13"/>
  <c r="E33" i="13"/>
  <c r="E34" i="13" s="1"/>
  <c r="D33" i="13"/>
  <c r="D34" i="13" s="1"/>
  <c r="E26" i="13"/>
  <c r="D26" i="13"/>
  <c r="C26" i="13"/>
  <c r="D15" i="13"/>
  <c r="E13" i="13"/>
  <c r="D13" i="13"/>
  <c r="D25" i="13" s="1"/>
  <c r="D27" i="13" s="1"/>
  <c r="C13" i="13"/>
  <c r="C25" i="13" s="1"/>
  <c r="D47" i="12"/>
  <c r="C47" i="12"/>
  <c r="F47" i="12" s="1"/>
  <c r="F46" i="12"/>
  <c r="E46" i="12"/>
  <c r="F45" i="12"/>
  <c r="E45" i="12"/>
  <c r="D40" i="12"/>
  <c r="E40" i="12" s="1"/>
  <c r="F40" i="12" s="1"/>
  <c r="C40" i="12"/>
  <c r="E39" i="12"/>
  <c r="F39" i="12" s="1"/>
  <c r="F38" i="12"/>
  <c r="E38" i="12"/>
  <c r="F37" i="12"/>
  <c r="E37" i="12"/>
  <c r="D32" i="12"/>
  <c r="C32" i="12"/>
  <c r="E32" i="12" s="1"/>
  <c r="E31" i="12"/>
  <c r="F31" i="12" s="1"/>
  <c r="E30" i="12"/>
  <c r="F30" i="12"/>
  <c r="E29" i="12"/>
  <c r="F29" i="12" s="1"/>
  <c r="F28" i="12"/>
  <c r="E28" i="12"/>
  <c r="E27" i="12"/>
  <c r="F27" i="12" s="1"/>
  <c r="E26" i="12"/>
  <c r="F26" i="12"/>
  <c r="E25" i="12"/>
  <c r="F25" i="12"/>
  <c r="E24" i="12"/>
  <c r="F24" i="12"/>
  <c r="E23" i="12"/>
  <c r="F23" i="12"/>
  <c r="E19" i="12"/>
  <c r="F19" i="12"/>
  <c r="E18" i="12"/>
  <c r="F18" i="12"/>
  <c r="E16" i="12"/>
  <c r="F16" i="12"/>
  <c r="D15" i="12"/>
  <c r="D17" i="12" s="1"/>
  <c r="C15" i="12"/>
  <c r="F14" i="12"/>
  <c r="E14" i="12"/>
  <c r="E13" i="12"/>
  <c r="F13" i="12"/>
  <c r="E12" i="12"/>
  <c r="F12" i="12" s="1"/>
  <c r="E11" i="12"/>
  <c r="F11" i="12" s="1"/>
  <c r="D73" i="11"/>
  <c r="C73" i="11"/>
  <c r="E72" i="11"/>
  <c r="F72" i="11"/>
  <c r="E71" i="11"/>
  <c r="F71" i="11" s="1"/>
  <c r="E70" i="11"/>
  <c r="F70" i="11" s="1"/>
  <c r="F67" i="11"/>
  <c r="E67" i="11"/>
  <c r="E64" i="11"/>
  <c r="F64" i="11"/>
  <c r="E63" i="11"/>
  <c r="F63" i="11" s="1"/>
  <c r="D61" i="11"/>
  <c r="D65" i="11"/>
  <c r="E65" i="11" s="1"/>
  <c r="F65" i="11" s="1"/>
  <c r="C61" i="11"/>
  <c r="C65" i="11" s="1"/>
  <c r="E60" i="11"/>
  <c r="F60" i="11"/>
  <c r="E59" i="11"/>
  <c r="F59" i="11"/>
  <c r="D56" i="11"/>
  <c r="C56" i="11"/>
  <c r="C75" i="11" s="1"/>
  <c r="E55" i="11"/>
  <c r="F55" i="11" s="1"/>
  <c r="F54" i="11"/>
  <c r="E54" i="11"/>
  <c r="E53" i="11"/>
  <c r="F53" i="11" s="1"/>
  <c r="F52" i="11"/>
  <c r="E52" i="11"/>
  <c r="E51" i="11"/>
  <c r="F51" i="11" s="1"/>
  <c r="E50" i="11"/>
  <c r="F50" i="11" s="1"/>
  <c r="A50" i="11"/>
  <c r="A51" i="11" s="1"/>
  <c r="A52" i="11" s="1"/>
  <c r="A53" i="11" s="1"/>
  <c r="A54" i="11" s="1"/>
  <c r="A55" i="11" s="1"/>
  <c r="E49" i="11"/>
  <c r="F49" i="11"/>
  <c r="E40" i="11"/>
  <c r="F40" i="11" s="1"/>
  <c r="D38" i="11"/>
  <c r="D41" i="11" s="1"/>
  <c r="C38" i="11"/>
  <c r="C41" i="11" s="1"/>
  <c r="E37" i="11"/>
  <c r="F37" i="11" s="1"/>
  <c r="E36" i="11"/>
  <c r="F36" i="11"/>
  <c r="E33" i="11"/>
  <c r="F33" i="11" s="1"/>
  <c r="E32" i="11"/>
  <c r="F32" i="11" s="1"/>
  <c r="F31" i="11"/>
  <c r="E31" i="11"/>
  <c r="D29" i="11"/>
  <c r="C29" i="11"/>
  <c r="E28" i="11"/>
  <c r="F28" i="11" s="1"/>
  <c r="F27" i="11"/>
  <c r="E27" i="11"/>
  <c r="F26" i="11"/>
  <c r="E26" i="11"/>
  <c r="E25" i="11"/>
  <c r="F25" i="11" s="1"/>
  <c r="D22" i="11"/>
  <c r="C22" i="11"/>
  <c r="F21" i="11"/>
  <c r="E21" i="11"/>
  <c r="E20" i="11"/>
  <c r="F20" i="11" s="1"/>
  <c r="E19" i="11"/>
  <c r="F19" i="11" s="1"/>
  <c r="E18" i="11"/>
  <c r="F18" i="11" s="1"/>
  <c r="F17" i="11"/>
  <c r="E17" i="11"/>
  <c r="E16" i="11"/>
  <c r="F16" i="11"/>
  <c r="E15" i="11"/>
  <c r="F15" i="11" s="1"/>
  <c r="F14" i="11"/>
  <c r="E14" i="11"/>
  <c r="E13" i="11"/>
  <c r="F13" i="11" s="1"/>
  <c r="F120" i="10"/>
  <c r="D120" i="10"/>
  <c r="C120" i="10"/>
  <c r="E120" i="10" s="1"/>
  <c r="D119" i="10"/>
  <c r="C119" i="10"/>
  <c r="F119" i="10" s="1"/>
  <c r="F118" i="10"/>
  <c r="D118" i="10"/>
  <c r="E118" i="10"/>
  <c r="C118" i="10"/>
  <c r="D117" i="10"/>
  <c r="C117" i="10"/>
  <c r="F116" i="10"/>
  <c r="D116" i="10"/>
  <c r="E116" i="10" s="1"/>
  <c r="C116" i="10"/>
  <c r="D115" i="10"/>
  <c r="C115" i="10"/>
  <c r="D114" i="10"/>
  <c r="C114" i="10"/>
  <c r="F114" i="10" s="1"/>
  <c r="D113" i="10"/>
  <c r="C113" i="10"/>
  <c r="D112" i="10"/>
  <c r="C112" i="10"/>
  <c r="F108" i="10"/>
  <c r="D108" i="10"/>
  <c r="C108" i="10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 s="1"/>
  <c r="D95" i="10"/>
  <c r="E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F83" i="10"/>
  <c r="D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E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C60" i="10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E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 s="1"/>
  <c r="C24" i="10"/>
  <c r="F24" i="10" s="1"/>
  <c r="D23" i="10"/>
  <c r="E23" i="10" s="1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E205" i="9" s="1"/>
  <c r="F205" i="9" s="1"/>
  <c r="C205" i="9"/>
  <c r="D204" i="9"/>
  <c r="E204" i="9" s="1"/>
  <c r="F204" i="9" s="1"/>
  <c r="C204" i="9"/>
  <c r="D203" i="9"/>
  <c r="C203" i="9"/>
  <c r="D202" i="9"/>
  <c r="C202" i="9"/>
  <c r="D201" i="9"/>
  <c r="C201" i="9"/>
  <c r="D200" i="9"/>
  <c r="E200" i="9" s="1"/>
  <c r="F200" i="9" s="1"/>
  <c r="C200" i="9"/>
  <c r="D199" i="9"/>
  <c r="C199" i="9"/>
  <c r="D198" i="9"/>
  <c r="C198" i="9"/>
  <c r="D193" i="9"/>
  <c r="C193" i="9"/>
  <c r="D192" i="9"/>
  <c r="E192" i="9" s="1"/>
  <c r="C192" i="9"/>
  <c r="F192" i="9" s="1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E180" i="9" s="1"/>
  <c r="C180" i="9"/>
  <c r="F180" i="9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 s="1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E140" i="9" s="1"/>
  <c r="F140" i="9" s="1"/>
  <c r="C140" i="9"/>
  <c r="E139" i="9"/>
  <c r="F139" i="9" s="1"/>
  <c r="E138" i="9"/>
  <c r="F138" i="9"/>
  <c r="E137" i="9"/>
  <c r="F137" i="9" s="1"/>
  <c r="E136" i="9"/>
  <c r="F136" i="9" s="1"/>
  <c r="E135" i="9"/>
  <c r="F135" i="9" s="1"/>
  <c r="E134" i="9"/>
  <c r="F134" i="9"/>
  <c r="E133" i="9"/>
  <c r="F133" i="9"/>
  <c r="E132" i="9"/>
  <c r="F132" i="9" s="1"/>
  <c r="E131" i="9"/>
  <c r="F131" i="9" s="1"/>
  <c r="D128" i="9"/>
  <c r="C128" i="9"/>
  <c r="D127" i="9"/>
  <c r="C127" i="9"/>
  <c r="E126" i="9"/>
  <c r="F126" i="9"/>
  <c r="E125" i="9"/>
  <c r="F125" i="9"/>
  <c r="E124" i="9"/>
  <c r="F124" i="9" s="1"/>
  <c r="E123" i="9"/>
  <c r="F123" i="9"/>
  <c r="E122" i="9"/>
  <c r="F122" i="9"/>
  <c r="E121" i="9"/>
  <c r="F121" i="9" s="1"/>
  <c r="E120" i="9"/>
  <c r="F120" i="9" s="1"/>
  <c r="E119" i="9"/>
  <c r="F119" i="9" s="1"/>
  <c r="E118" i="9"/>
  <c r="F118" i="9" s="1"/>
  <c r="D115" i="9"/>
  <c r="E115" i="9" s="1"/>
  <c r="F115" i="9" s="1"/>
  <c r="C115" i="9"/>
  <c r="D114" i="9"/>
  <c r="C114" i="9"/>
  <c r="E113" i="9"/>
  <c r="F113" i="9" s="1"/>
  <c r="E112" i="9"/>
  <c r="F112" i="9" s="1"/>
  <c r="E111" i="9"/>
  <c r="F111" i="9"/>
  <c r="E110" i="9"/>
  <c r="F110" i="9" s="1"/>
  <c r="E109" i="9"/>
  <c r="F109" i="9" s="1"/>
  <c r="E108" i="9"/>
  <c r="F108" i="9" s="1"/>
  <c r="E107" i="9"/>
  <c r="F107" i="9" s="1"/>
  <c r="E106" i="9"/>
  <c r="F106" i="9" s="1"/>
  <c r="E105" i="9"/>
  <c r="F105" i="9"/>
  <c r="D102" i="9"/>
  <c r="C102" i="9"/>
  <c r="D101" i="9"/>
  <c r="C101" i="9"/>
  <c r="E101" i="9" s="1"/>
  <c r="F101" i="9" s="1"/>
  <c r="E100" i="9"/>
  <c r="F100" i="9" s="1"/>
  <c r="E99" i="9"/>
  <c r="F99" i="9" s="1"/>
  <c r="E98" i="9"/>
  <c r="F98" i="9" s="1"/>
  <c r="E97" i="9"/>
  <c r="F97" i="9"/>
  <c r="E96" i="9"/>
  <c r="F96" i="9" s="1"/>
  <c r="E95" i="9"/>
  <c r="F95" i="9" s="1"/>
  <c r="E94" i="9"/>
  <c r="F94" i="9"/>
  <c r="E93" i="9"/>
  <c r="F93" i="9"/>
  <c r="E92" i="9"/>
  <c r="F92" i="9" s="1"/>
  <c r="D89" i="9"/>
  <c r="C89" i="9"/>
  <c r="D88" i="9"/>
  <c r="E88" i="9" s="1"/>
  <c r="C88" i="9"/>
  <c r="F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E75" i="9" s="1"/>
  <c r="E74" i="9"/>
  <c r="F74" i="9"/>
  <c r="E73" i="9"/>
  <c r="F73" i="9" s="1"/>
  <c r="E72" i="9"/>
  <c r="F72" i="9" s="1"/>
  <c r="E71" i="9"/>
  <c r="F71" i="9" s="1"/>
  <c r="E70" i="9"/>
  <c r="F70" i="9"/>
  <c r="E69" i="9"/>
  <c r="F69" i="9" s="1"/>
  <c r="E68" i="9"/>
  <c r="F68" i="9"/>
  <c r="E67" i="9"/>
  <c r="F67" i="9"/>
  <c r="E66" i="9"/>
  <c r="F66" i="9"/>
  <c r="D63" i="9"/>
  <c r="E63" i="9" s="1"/>
  <c r="C63" i="9"/>
  <c r="F63" i="9" s="1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E49" i="9" s="1"/>
  <c r="F49" i="9" s="1"/>
  <c r="C49" i="9"/>
  <c r="E48" i="9"/>
  <c r="F48" i="9" s="1"/>
  <c r="E47" i="9"/>
  <c r="F47" i="9" s="1"/>
  <c r="E46" i="9"/>
  <c r="F46" i="9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D37" i="9"/>
  <c r="C37" i="9"/>
  <c r="D36" i="9"/>
  <c r="C36" i="9"/>
  <c r="F35" i="9"/>
  <c r="E35" i="9"/>
  <c r="F34" i="9"/>
  <c r="E34" i="9"/>
  <c r="E33" i="9"/>
  <c r="F33" i="9" s="1"/>
  <c r="F32" i="9"/>
  <c r="E32" i="9"/>
  <c r="F31" i="9"/>
  <c r="E31" i="9"/>
  <c r="E30" i="9"/>
  <c r="F30" i="9" s="1"/>
  <c r="E29" i="9"/>
  <c r="F29" i="9" s="1"/>
  <c r="F28" i="9"/>
  <c r="E28" i="9"/>
  <c r="F27" i="9"/>
  <c r="E27" i="9"/>
  <c r="D24" i="9"/>
  <c r="C24" i="9"/>
  <c r="D23" i="9"/>
  <c r="C23" i="9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D164" i="8"/>
  <c r="D160" i="8" s="1"/>
  <c r="C164" i="8"/>
  <c r="C160" i="8" s="1"/>
  <c r="E162" i="8"/>
  <c r="D162" i="8"/>
  <c r="C162" i="8"/>
  <c r="E161" i="8"/>
  <c r="D161" i="8"/>
  <c r="C161" i="8"/>
  <c r="E147" i="8"/>
  <c r="E143" i="8" s="1"/>
  <c r="E149" i="8" s="1"/>
  <c r="D147" i="8"/>
  <c r="D143" i="8" s="1"/>
  <c r="C147" i="8"/>
  <c r="C143" i="8" s="1"/>
  <c r="E145" i="8"/>
  <c r="D145" i="8"/>
  <c r="C145" i="8"/>
  <c r="E144" i="8"/>
  <c r="D144" i="8"/>
  <c r="C144" i="8"/>
  <c r="E126" i="8"/>
  <c r="D126" i="8"/>
  <c r="C126" i="8"/>
  <c r="E119" i="8"/>
  <c r="D119" i="8"/>
  <c r="C119" i="8"/>
  <c r="E108" i="8"/>
  <c r="D108" i="8"/>
  <c r="C108" i="8"/>
  <c r="E107" i="8"/>
  <c r="E109" i="8"/>
  <c r="E106" i="8" s="1"/>
  <c r="D107" i="8"/>
  <c r="C107" i="8"/>
  <c r="E104" i="8"/>
  <c r="E102" i="8"/>
  <c r="D102" i="8"/>
  <c r="D104" i="8" s="1"/>
  <c r="C102" i="8"/>
  <c r="C104" i="8" s="1"/>
  <c r="E100" i="8"/>
  <c r="D100" i="8"/>
  <c r="C100" i="8"/>
  <c r="E95" i="8"/>
  <c r="E94" i="8" s="1"/>
  <c r="D95" i="8"/>
  <c r="D94" i="8" s="1"/>
  <c r="C95" i="8"/>
  <c r="C94" i="8"/>
  <c r="E89" i="8"/>
  <c r="D89" i="8"/>
  <c r="C89" i="8"/>
  <c r="E87" i="8"/>
  <c r="D87" i="8"/>
  <c r="C87" i="8"/>
  <c r="E84" i="8"/>
  <c r="D84" i="8"/>
  <c r="C84" i="8"/>
  <c r="E83" i="8"/>
  <c r="D83" i="8"/>
  <c r="C83" i="8"/>
  <c r="E75" i="8"/>
  <c r="D75" i="8"/>
  <c r="D77" i="8" s="1"/>
  <c r="D71" i="8" s="1"/>
  <c r="C75" i="8"/>
  <c r="E74" i="8"/>
  <c r="D74" i="8"/>
  <c r="C74" i="8"/>
  <c r="E67" i="8"/>
  <c r="D67" i="8"/>
  <c r="C67" i="8"/>
  <c r="E38" i="8"/>
  <c r="E57" i="8" s="1"/>
  <c r="D38" i="8"/>
  <c r="C38" i="8"/>
  <c r="E33" i="8"/>
  <c r="E34" i="8" s="1"/>
  <c r="D33" i="8"/>
  <c r="D34" i="8"/>
  <c r="E26" i="8"/>
  <c r="D26" i="8"/>
  <c r="C26" i="8"/>
  <c r="E13" i="8"/>
  <c r="D13" i="8"/>
  <c r="C13" i="8"/>
  <c r="F186" i="7"/>
  <c r="E186" i="7"/>
  <c r="D183" i="7"/>
  <c r="C183" i="7"/>
  <c r="E182" i="7"/>
  <c r="F182" i="7" s="1"/>
  <c r="F181" i="7"/>
  <c r="E181" i="7"/>
  <c r="F180" i="7"/>
  <c r="E180" i="7"/>
  <c r="E179" i="7"/>
  <c r="F179" i="7" s="1"/>
  <c r="F178" i="7"/>
  <c r="E178" i="7"/>
  <c r="F177" i="7"/>
  <c r="E177" i="7"/>
  <c r="F176" i="7"/>
  <c r="E176" i="7"/>
  <c r="E175" i="7"/>
  <c r="F175" i="7" s="1"/>
  <c r="F174" i="7"/>
  <c r="E174" i="7"/>
  <c r="E173" i="7"/>
  <c r="F173" i="7" s="1"/>
  <c r="F172" i="7"/>
  <c r="E172" i="7"/>
  <c r="E171" i="7"/>
  <c r="F171" i="7" s="1"/>
  <c r="E170" i="7"/>
  <c r="F170" i="7" s="1"/>
  <c r="D167" i="7"/>
  <c r="C167" i="7"/>
  <c r="E166" i="7"/>
  <c r="F166" i="7" s="1"/>
  <c r="F165" i="7"/>
  <c r="E165" i="7"/>
  <c r="E164" i="7"/>
  <c r="F164" i="7" s="1"/>
  <c r="F163" i="7"/>
  <c r="E163" i="7"/>
  <c r="F162" i="7"/>
  <c r="E162" i="7"/>
  <c r="E161" i="7"/>
  <c r="F161" i="7" s="1"/>
  <c r="E160" i="7"/>
  <c r="F160" i="7" s="1"/>
  <c r="F159" i="7"/>
  <c r="E159" i="7"/>
  <c r="F158" i="7"/>
  <c r="E158" i="7"/>
  <c r="E157" i="7"/>
  <c r="F157" i="7" s="1"/>
  <c r="E156" i="7"/>
  <c r="F156" i="7" s="1"/>
  <c r="E155" i="7"/>
  <c r="F155" i="7" s="1"/>
  <c r="E154" i="7"/>
  <c r="F154" i="7" s="1"/>
  <c r="F153" i="7"/>
  <c r="E153" i="7"/>
  <c r="F152" i="7"/>
  <c r="E152" i="7"/>
  <c r="F151" i="7"/>
  <c r="E151" i="7"/>
  <c r="F150" i="7"/>
  <c r="E150" i="7"/>
  <c r="F149" i="7"/>
  <c r="E149" i="7"/>
  <c r="E148" i="7"/>
  <c r="F148" i="7" s="1"/>
  <c r="F147" i="7"/>
  <c r="E147" i="7"/>
  <c r="E146" i="7"/>
  <c r="F146" i="7" s="1"/>
  <c r="E145" i="7"/>
  <c r="F145" i="7" s="1"/>
  <c r="E144" i="7"/>
  <c r="F144" i="7" s="1"/>
  <c r="F143" i="7"/>
  <c r="E143" i="7"/>
  <c r="E142" i="7"/>
  <c r="F142" i="7" s="1"/>
  <c r="E141" i="7"/>
  <c r="F141" i="7" s="1"/>
  <c r="E140" i="7"/>
  <c r="F140" i="7" s="1"/>
  <c r="F139" i="7"/>
  <c r="E139" i="7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D130" i="7"/>
  <c r="F130" i="7"/>
  <c r="C130" i="7"/>
  <c r="E130" i="7" s="1"/>
  <c r="F129" i="7"/>
  <c r="E129" i="7"/>
  <c r="E128" i="7"/>
  <c r="F128" i="7" s="1"/>
  <c r="E127" i="7"/>
  <c r="F127" i="7" s="1"/>
  <c r="F126" i="7"/>
  <c r="E126" i="7"/>
  <c r="F125" i="7"/>
  <c r="E125" i="7"/>
  <c r="E124" i="7"/>
  <c r="F124" i="7" s="1"/>
  <c r="D121" i="7"/>
  <c r="E121" i="7"/>
  <c r="C121" i="7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 s="1"/>
  <c r="E111" i="7"/>
  <c r="F111" i="7" s="1"/>
  <c r="E110" i="7"/>
  <c r="F110" i="7" s="1"/>
  <c r="E109" i="7"/>
  <c r="F109" i="7" s="1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93" i="7"/>
  <c r="F93" i="7" s="1"/>
  <c r="D90" i="7"/>
  <c r="E90" i="7"/>
  <c r="C90" i="7"/>
  <c r="F89" i="7"/>
  <c r="E89" i="7"/>
  <c r="F88" i="7"/>
  <c r="E88" i="7"/>
  <c r="E87" i="7"/>
  <c r="F87" i="7" s="1"/>
  <c r="E86" i="7"/>
  <c r="F86" i="7" s="1"/>
  <c r="F85" i="7"/>
  <c r="E85" i="7"/>
  <c r="E84" i="7"/>
  <c r="F84" i="7" s="1"/>
  <c r="E83" i="7"/>
  <c r="F83" i="7" s="1"/>
  <c r="E82" i="7"/>
  <c r="F82" i="7" s="1"/>
  <c r="F81" i="7"/>
  <c r="E81" i="7"/>
  <c r="E80" i="7"/>
  <c r="F80" i="7" s="1"/>
  <c r="F79" i="7"/>
  <c r="E79" i="7"/>
  <c r="F78" i="7"/>
  <c r="E78" i="7"/>
  <c r="F77" i="7"/>
  <c r="E77" i="7"/>
  <c r="E76" i="7"/>
  <c r="F76" i="7" s="1"/>
  <c r="E75" i="7"/>
  <c r="F75" i="7" s="1"/>
  <c r="F74" i="7"/>
  <c r="E74" i="7"/>
  <c r="F73" i="7"/>
  <c r="E73" i="7"/>
  <c r="F72" i="7"/>
  <c r="E72" i="7"/>
  <c r="E71" i="7"/>
  <c r="F71" i="7" s="1"/>
  <c r="F70" i="7"/>
  <c r="E70" i="7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D59" i="7"/>
  <c r="C59" i="7"/>
  <c r="F58" i="7"/>
  <c r="E58" i="7"/>
  <c r="E57" i="7"/>
  <c r="F57" i="7" s="1"/>
  <c r="E56" i="7"/>
  <c r="F56" i="7" s="1"/>
  <c r="E55" i="7"/>
  <c r="F55" i="7" s="1"/>
  <c r="F54" i="7"/>
  <c r="E54" i="7"/>
  <c r="F53" i="7"/>
  <c r="E53" i="7"/>
  <c r="F50" i="7"/>
  <c r="E50" i="7"/>
  <c r="E47" i="7"/>
  <c r="F47" i="7" s="1"/>
  <c r="F44" i="7"/>
  <c r="E44" i="7"/>
  <c r="D41" i="7"/>
  <c r="E41" i="7" s="1"/>
  <c r="F41" i="7" s="1"/>
  <c r="C41" i="7"/>
  <c r="E40" i="7"/>
  <c r="F40" i="7" s="1"/>
  <c r="E39" i="7"/>
  <c r="F39" i="7" s="1"/>
  <c r="F38" i="7"/>
  <c r="E38" i="7"/>
  <c r="D35" i="7"/>
  <c r="C35" i="7"/>
  <c r="E34" i="7"/>
  <c r="F34" i="7" s="1"/>
  <c r="E33" i="7"/>
  <c r="F33" i="7" s="1"/>
  <c r="D30" i="7"/>
  <c r="C30" i="7"/>
  <c r="F29" i="7"/>
  <c r="E29" i="7"/>
  <c r="E28" i="7"/>
  <c r="F28" i="7" s="1"/>
  <c r="F27" i="7"/>
  <c r="E27" i="7"/>
  <c r="D24" i="7"/>
  <c r="C24" i="7"/>
  <c r="F23" i="7"/>
  <c r="E23" i="7"/>
  <c r="E22" i="7"/>
  <c r="F22" i="7" s="1"/>
  <c r="E21" i="7"/>
  <c r="F21" i="7" s="1"/>
  <c r="D18" i="7"/>
  <c r="C18" i="7"/>
  <c r="E17" i="7"/>
  <c r="F17" i="7" s="1"/>
  <c r="E16" i="7"/>
  <c r="F16" i="7" s="1"/>
  <c r="E15" i="7"/>
  <c r="F15" i="7" s="1"/>
  <c r="D179" i="6"/>
  <c r="C179" i="6"/>
  <c r="E179" i="6" s="1"/>
  <c r="F179" i="6" s="1"/>
  <c r="F178" i="6"/>
  <c r="E178" i="6"/>
  <c r="F177" i="6"/>
  <c r="E177" i="6"/>
  <c r="E176" i="6"/>
  <c r="F176" i="6" s="1"/>
  <c r="E175" i="6"/>
  <c r="F175" i="6" s="1"/>
  <c r="E174" i="6"/>
  <c r="F174" i="6" s="1"/>
  <c r="E173" i="6"/>
  <c r="F173" i="6" s="1"/>
  <c r="E172" i="6"/>
  <c r="F172" i="6" s="1"/>
  <c r="F171" i="6"/>
  <c r="E171" i="6"/>
  <c r="E170" i="6"/>
  <c r="F170" i="6" s="1"/>
  <c r="E169" i="6"/>
  <c r="F169" i="6" s="1"/>
  <c r="E168" i="6"/>
  <c r="F168" i="6" s="1"/>
  <c r="D166" i="6"/>
  <c r="C166" i="6"/>
  <c r="E166" i="6" s="1"/>
  <c r="F166" i="6" s="1"/>
  <c r="F165" i="6"/>
  <c r="E165" i="6"/>
  <c r="F164" i="6"/>
  <c r="E164" i="6"/>
  <c r="E163" i="6"/>
  <c r="F163" i="6" s="1"/>
  <c r="E162" i="6"/>
  <c r="F162" i="6" s="1"/>
  <c r="E161" i="6"/>
  <c r="F161" i="6" s="1"/>
  <c r="E160" i="6"/>
  <c r="F160" i="6" s="1"/>
  <c r="E159" i="6"/>
  <c r="F159" i="6" s="1"/>
  <c r="F158" i="6"/>
  <c r="E158" i="6"/>
  <c r="E157" i="6"/>
  <c r="F157" i="6" s="1"/>
  <c r="E156" i="6"/>
  <c r="F156" i="6" s="1"/>
  <c r="E155" i="6"/>
  <c r="F155" i="6"/>
  <c r="D153" i="6"/>
  <c r="E153" i="6" s="1"/>
  <c r="F153" i="6" s="1"/>
  <c r="C153" i="6"/>
  <c r="F152" i="6"/>
  <c r="E152" i="6"/>
  <c r="F151" i="6"/>
  <c r="E151" i="6"/>
  <c r="E150" i="6"/>
  <c r="F150" i="6"/>
  <c r="E149" i="6"/>
  <c r="F149" i="6" s="1"/>
  <c r="E148" i="6"/>
  <c r="F148" i="6" s="1"/>
  <c r="E147" i="6"/>
  <c r="F147" i="6" s="1"/>
  <c r="E146" i="6"/>
  <c r="F146" i="6" s="1"/>
  <c r="F145" i="6"/>
  <c r="E145" i="6"/>
  <c r="E144" i="6"/>
  <c r="F144" i="6" s="1"/>
  <c r="E143" i="6"/>
  <c r="F143" i="6" s="1"/>
  <c r="E142" i="6"/>
  <c r="F142" i="6"/>
  <c r="D137" i="6"/>
  <c r="C137" i="6"/>
  <c r="F136" i="6"/>
  <c r="E136" i="6"/>
  <c r="F135" i="6"/>
  <c r="E135" i="6"/>
  <c r="E134" i="6"/>
  <c r="F134" i="6"/>
  <c r="E133" i="6"/>
  <c r="F133" i="6" s="1"/>
  <c r="E132" i="6"/>
  <c r="F132" i="6" s="1"/>
  <c r="E131" i="6"/>
  <c r="F131" i="6" s="1"/>
  <c r="E130" i="6"/>
  <c r="F130" i="6"/>
  <c r="F129" i="6"/>
  <c r="E129" i="6"/>
  <c r="E128" i="6"/>
  <c r="F128" i="6" s="1"/>
  <c r="E127" i="6"/>
  <c r="F127" i="6" s="1"/>
  <c r="E126" i="6"/>
  <c r="F126" i="6" s="1"/>
  <c r="D124" i="6"/>
  <c r="C124" i="6"/>
  <c r="F123" i="6"/>
  <c r="E123" i="6"/>
  <c r="F122" i="6"/>
  <c r="E122" i="6"/>
  <c r="E121" i="6"/>
  <c r="F121" i="6" s="1"/>
  <c r="E120" i="6"/>
  <c r="F120" i="6" s="1"/>
  <c r="E119" i="6"/>
  <c r="F119" i="6" s="1"/>
  <c r="E118" i="6"/>
  <c r="F118" i="6" s="1"/>
  <c r="E117" i="6"/>
  <c r="F117" i="6" s="1"/>
  <c r="F116" i="6"/>
  <c r="E116" i="6"/>
  <c r="E115" i="6"/>
  <c r="F115" i="6" s="1"/>
  <c r="E114" i="6"/>
  <c r="F114" i="6" s="1"/>
  <c r="E113" i="6"/>
  <c r="F113" i="6"/>
  <c r="D111" i="6"/>
  <c r="E111" i="6" s="1"/>
  <c r="F111" i="6" s="1"/>
  <c r="C111" i="6"/>
  <c r="F110" i="6"/>
  <c r="E110" i="6"/>
  <c r="F109" i="6"/>
  <c r="E109" i="6"/>
  <c r="E108" i="6"/>
  <c r="F108" i="6"/>
  <c r="E107" i="6"/>
  <c r="F107" i="6" s="1"/>
  <c r="E106" i="6"/>
  <c r="F106" i="6" s="1"/>
  <c r="E105" i="6"/>
  <c r="F105" i="6" s="1"/>
  <c r="E104" i="6"/>
  <c r="F104" i="6"/>
  <c r="F103" i="6"/>
  <c r="E103" i="6"/>
  <c r="E102" i="6"/>
  <c r="F102" i="6" s="1"/>
  <c r="E101" i="6"/>
  <c r="F101" i="6" s="1"/>
  <c r="E100" i="6"/>
  <c r="F100" i="6" s="1"/>
  <c r="D94" i="6"/>
  <c r="C94" i="6"/>
  <c r="F94" i="6"/>
  <c r="D93" i="6"/>
  <c r="C93" i="6"/>
  <c r="F93" i="6"/>
  <c r="D92" i="6"/>
  <c r="C92" i="6"/>
  <c r="D91" i="6"/>
  <c r="C91" i="6"/>
  <c r="D90" i="6"/>
  <c r="C90" i="6"/>
  <c r="D89" i="6"/>
  <c r="C89" i="6"/>
  <c r="E89" i="6" s="1"/>
  <c r="D88" i="6"/>
  <c r="C88" i="6"/>
  <c r="D87" i="6"/>
  <c r="C87" i="6"/>
  <c r="F87" i="6"/>
  <c r="D86" i="6"/>
  <c r="C86" i="6"/>
  <c r="E86" i="6" s="1"/>
  <c r="F86" i="6" s="1"/>
  <c r="D85" i="6"/>
  <c r="D95" i="6" s="1"/>
  <c r="C85" i="6"/>
  <c r="D84" i="6"/>
  <c r="C84" i="6"/>
  <c r="D81" i="6"/>
  <c r="C81" i="6"/>
  <c r="E81" i="6" s="1"/>
  <c r="F81" i="6" s="1"/>
  <c r="F80" i="6"/>
  <c r="E80" i="6"/>
  <c r="F79" i="6"/>
  <c r="E79" i="6"/>
  <c r="E78" i="6"/>
  <c r="F78" i="6" s="1"/>
  <c r="E77" i="6"/>
  <c r="F77" i="6" s="1"/>
  <c r="E76" i="6"/>
  <c r="F76" i="6"/>
  <c r="E75" i="6"/>
  <c r="F75" i="6"/>
  <c r="E74" i="6"/>
  <c r="F74" i="6" s="1"/>
  <c r="F73" i="6"/>
  <c r="E73" i="6"/>
  <c r="E72" i="6"/>
  <c r="F72" i="6"/>
  <c r="E71" i="6"/>
  <c r="F71" i="6" s="1"/>
  <c r="E70" i="6"/>
  <c r="F70" i="6" s="1"/>
  <c r="D68" i="6"/>
  <c r="C68" i="6"/>
  <c r="F67" i="6"/>
  <c r="E67" i="6"/>
  <c r="F66" i="6"/>
  <c r="E66" i="6"/>
  <c r="E65" i="6"/>
  <c r="F65" i="6" s="1"/>
  <c r="E64" i="6"/>
  <c r="F64" i="6" s="1"/>
  <c r="E63" i="6"/>
  <c r="F63" i="6" s="1"/>
  <c r="E62" i="6"/>
  <c r="F62" i="6" s="1"/>
  <c r="E61" i="6"/>
  <c r="F61" i="6" s="1"/>
  <c r="F60" i="6"/>
  <c r="E60" i="6"/>
  <c r="E59" i="6"/>
  <c r="F59" i="6" s="1"/>
  <c r="E58" i="6"/>
  <c r="F58" i="6" s="1"/>
  <c r="E57" i="6"/>
  <c r="F57" i="6" s="1"/>
  <c r="D51" i="6"/>
  <c r="E51" i="6" s="1"/>
  <c r="C51" i="6"/>
  <c r="F51" i="6"/>
  <c r="D50" i="6"/>
  <c r="C50" i="6"/>
  <c r="F50" i="6" s="1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E43" i="6" s="1"/>
  <c r="F43" i="6" s="1"/>
  <c r="C43" i="6"/>
  <c r="D42" i="6"/>
  <c r="E42" i="6" s="1"/>
  <c r="C42" i="6"/>
  <c r="D41" i="6"/>
  <c r="E41" i="6" s="1"/>
  <c r="C41" i="6"/>
  <c r="D38" i="6"/>
  <c r="E38" i="6" s="1"/>
  <c r="F38" i="6" s="1"/>
  <c r="C38" i="6"/>
  <c r="F37" i="6"/>
  <c r="E37" i="6"/>
  <c r="F36" i="6"/>
  <c r="E36" i="6"/>
  <c r="E35" i="6"/>
  <c r="F35" i="6" s="1"/>
  <c r="E34" i="6"/>
  <c r="F34" i="6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C25" i="6"/>
  <c r="E25" i="6" s="1"/>
  <c r="F25" i="6" s="1"/>
  <c r="F24" i="6"/>
  <c r="E24" i="6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E51" i="5"/>
  <c r="F51" i="5"/>
  <c r="D48" i="5"/>
  <c r="C48" i="5"/>
  <c r="F48" i="5" s="1"/>
  <c r="F47" i="5"/>
  <c r="E47" i="5"/>
  <c r="F46" i="5"/>
  <c r="E46" i="5"/>
  <c r="D41" i="5"/>
  <c r="C41" i="5"/>
  <c r="E40" i="5"/>
  <c r="F40" i="5" s="1"/>
  <c r="F39" i="5"/>
  <c r="E39" i="5"/>
  <c r="F38" i="5"/>
  <c r="E38" i="5"/>
  <c r="D33" i="5"/>
  <c r="C33" i="5"/>
  <c r="E32" i="5"/>
  <c r="F32" i="5" s="1"/>
  <c r="E31" i="5"/>
  <c r="F31" i="5"/>
  <c r="E30" i="5"/>
  <c r="F30" i="5" s="1"/>
  <c r="F29" i="5"/>
  <c r="E29" i="5"/>
  <c r="E28" i="5"/>
  <c r="F28" i="5" s="1"/>
  <c r="E27" i="5"/>
  <c r="F27" i="5"/>
  <c r="E26" i="5"/>
  <c r="F26" i="5"/>
  <c r="E25" i="5"/>
  <c r="F25" i="5"/>
  <c r="E24" i="5"/>
  <c r="F24" i="5" s="1"/>
  <c r="E20" i="5"/>
  <c r="F20" i="5"/>
  <c r="E19" i="5"/>
  <c r="F19" i="5" s="1"/>
  <c r="E17" i="5"/>
  <c r="F17" i="5" s="1"/>
  <c r="D16" i="5"/>
  <c r="D18" i="5" s="1"/>
  <c r="D21" i="5" s="1"/>
  <c r="C16" i="5"/>
  <c r="F15" i="5"/>
  <c r="E15" i="5"/>
  <c r="E14" i="5"/>
  <c r="F14" i="5"/>
  <c r="E13" i="5"/>
  <c r="F13" i="5" s="1"/>
  <c r="E12" i="5"/>
  <c r="F12" i="5" s="1"/>
  <c r="D73" i="4"/>
  <c r="C73" i="4"/>
  <c r="E72" i="4"/>
  <c r="F72" i="4" s="1"/>
  <c r="E71" i="4"/>
  <c r="F71" i="4" s="1"/>
  <c r="F70" i="4"/>
  <c r="E70" i="4"/>
  <c r="F67" i="4"/>
  <c r="E67" i="4"/>
  <c r="E64" i="4"/>
  <c r="F64" i="4" s="1"/>
  <c r="F63" i="4"/>
  <c r="E63" i="4"/>
  <c r="D61" i="4"/>
  <c r="C61" i="4"/>
  <c r="C65" i="4" s="1"/>
  <c r="E60" i="4"/>
  <c r="F60" i="4" s="1"/>
  <c r="E59" i="4"/>
  <c r="F59" i="4" s="1"/>
  <c r="D56" i="4"/>
  <c r="C56" i="4"/>
  <c r="C75" i="4"/>
  <c r="E55" i="4"/>
  <c r="F55" i="4" s="1"/>
  <c r="E54" i="4"/>
  <c r="F54" i="4"/>
  <c r="E53" i="4"/>
  <c r="F53" i="4" s="1"/>
  <c r="F52" i="4"/>
  <c r="E52" i="4"/>
  <c r="F51" i="4"/>
  <c r="E51" i="4"/>
  <c r="A52" i="4"/>
  <c r="A53" i="4" s="1"/>
  <c r="A54" i="4" s="1"/>
  <c r="A55" i="4" s="1"/>
  <c r="E50" i="4"/>
  <c r="F50" i="4" s="1"/>
  <c r="A50" i="4"/>
  <c r="A51" i="4" s="1"/>
  <c r="E49" i="4"/>
  <c r="F49" i="4" s="1"/>
  <c r="E40" i="4"/>
  <c r="F40" i="4" s="1"/>
  <c r="D38" i="4"/>
  <c r="D41" i="4" s="1"/>
  <c r="C38" i="4"/>
  <c r="C41" i="4" s="1"/>
  <c r="E37" i="4"/>
  <c r="F37" i="4" s="1"/>
  <c r="E36" i="4"/>
  <c r="F36" i="4" s="1"/>
  <c r="E33" i="4"/>
  <c r="F33" i="4" s="1"/>
  <c r="E32" i="4"/>
  <c r="F32" i="4" s="1"/>
  <c r="F31" i="4"/>
  <c r="E31" i="4"/>
  <c r="D29" i="4"/>
  <c r="E29" i="4" s="1"/>
  <c r="F29" i="4" s="1"/>
  <c r="C29" i="4"/>
  <c r="E28" i="4"/>
  <c r="F28" i="4" s="1"/>
  <c r="F27" i="4"/>
  <c r="E27" i="4"/>
  <c r="F26" i="4"/>
  <c r="E26" i="4"/>
  <c r="E25" i="4"/>
  <c r="F25" i="4" s="1"/>
  <c r="D22" i="4"/>
  <c r="C22" i="4"/>
  <c r="F21" i="4"/>
  <c r="E21" i="4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F14" i="4"/>
  <c r="E14" i="4"/>
  <c r="E13" i="4"/>
  <c r="F13" i="4" s="1"/>
  <c r="E22" i="22"/>
  <c r="E33" i="22"/>
  <c r="E23" i="22"/>
  <c r="F19" i="21"/>
  <c r="C41" i="20"/>
  <c r="D157" i="18"/>
  <c r="E157" i="18" s="1"/>
  <c r="E156" i="18"/>
  <c r="D283" i="18"/>
  <c r="E283" i="18" s="1"/>
  <c r="E21" i="18"/>
  <c r="E54" i="18"/>
  <c r="C71" i="18"/>
  <c r="E139" i="18"/>
  <c r="D145" i="18"/>
  <c r="E151" i="18"/>
  <c r="E260" i="18"/>
  <c r="C189" i="18"/>
  <c r="C210" i="18"/>
  <c r="D240" i="18"/>
  <c r="D244" i="18"/>
  <c r="E244" i="18"/>
  <c r="D326" i="18"/>
  <c r="D330" i="18" s="1"/>
  <c r="D189" i="18"/>
  <c r="C32" i="17"/>
  <c r="E32" i="17" s="1"/>
  <c r="D31" i="17"/>
  <c r="D32" i="17" s="1"/>
  <c r="D37" i="17"/>
  <c r="D60" i="17"/>
  <c r="D68" i="17"/>
  <c r="E85" i="17"/>
  <c r="F85" i="17" s="1"/>
  <c r="E88" i="17"/>
  <c r="F88" i="17"/>
  <c r="C89" i="17"/>
  <c r="E101" i="17"/>
  <c r="F101" i="17" s="1"/>
  <c r="F109" i="17"/>
  <c r="E110" i="17"/>
  <c r="F110" i="17"/>
  <c r="C111" i="17"/>
  <c r="E136" i="17"/>
  <c r="F136" i="17"/>
  <c r="C137" i="17"/>
  <c r="E144" i="17"/>
  <c r="E155" i="17"/>
  <c r="C254" i="17"/>
  <c r="C214" i="17"/>
  <c r="C280" i="17"/>
  <c r="C264" i="17"/>
  <c r="E191" i="17"/>
  <c r="F191" i="17" s="1"/>
  <c r="E20" i="17"/>
  <c r="F20" i="17" s="1"/>
  <c r="C21" i="17"/>
  <c r="D124" i="17"/>
  <c r="E158" i="17"/>
  <c r="E165" i="17"/>
  <c r="E171" i="17"/>
  <c r="C278" i="17"/>
  <c r="C255" i="17"/>
  <c r="C290" i="17"/>
  <c r="C285" i="17"/>
  <c r="C269" i="17"/>
  <c r="C205" i="17"/>
  <c r="C227" i="17"/>
  <c r="F237" i="17"/>
  <c r="C267" i="17"/>
  <c r="C270" i="17" s="1"/>
  <c r="D193" i="17"/>
  <c r="D282" i="17" s="1"/>
  <c r="D281" i="17" s="1"/>
  <c r="D199" i="17"/>
  <c r="D264" i="17"/>
  <c r="D267" i="17"/>
  <c r="D268" i="17" s="1"/>
  <c r="E307" i="17"/>
  <c r="E311" i="17"/>
  <c r="D31" i="14"/>
  <c r="F31" i="14"/>
  <c r="D21" i="13"/>
  <c r="C15" i="13"/>
  <c r="E48" i="13"/>
  <c r="E42" i="13" s="1"/>
  <c r="D20" i="12"/>
  <c r="D34" i="12" s="1"/>
  <c r="D42" i="12" s="1"/>
  <c r="F32" i="12"/>
  <c r="E22" i="11"/>
  <c r="E29" i="11"/>
  <c r="F29" i="11" s="1"/>
  <c r="E61" i="11"/>
  <c r="F61" i="11" s="1"/>
  <c r="E73" i="11"/>
  <c r="F73" i="11" s="1"/>
  <c r="E112" i="10"/>
  <c r="E113" i="10"/>
  <c r="E167" i="9"/>
  <c r="E199" i="9"/>
  <c r="F199" i="9" s="1"/>
  <c r="E201" i="9"/>
  <c r="F201" i="9" s="1"/>
  <c r="C208" i="9"/>
  <c r="E128" i="9"/>
  <c r="F128" i="9" s="1"/>
  <c r="E153" i="9"/>
  <c r="E166" i="9"/>
  <c r="E198" i="9"/>
  <c r="E202" i="9"/>
  <c r="F202" i="9" s="1"/>
  <c r="E206" i="9"/>
  <c r="F206" i="9" s="1"/>
  <c r="C53" i="8"/>
  <c r="C49" i="8"/>
  <c r="E62" i="8"/>
  <c r="D88" i="8"/>
  <c r="D90" i="8" s="1"/>
  <c r="D109" i="8"/>
  <c r="D106" i="8" s="1"/>
  <c r="D188" i="7"/>
  <c r="F41" i="6"/>
  <c r="F42" i="6"/>
  <c r="E44" i="6"/>
  <c r="E45" i="6"/>
  <c r="F45" i="6" s="1"/>
  <c r="E46" i="6"/>
  <c r="F46" i="6"/>
  <c r="E49" i="6"/>
  <c r="F49" i="6" s="1"/>
  <c r="E50" i="6"/>
  <c r="E68" i="6"/>
  <c r="F68" i="6" s="1"/>
  <c r="E84" i="6"/>
  <c r="F84" i="6" s="1"/>
  <c r="E88" i="6"/>
  <c r="F88" i="6"/>
  <c r="E90" i="6"/>
  <c r="F90" i="6" s="1"/>
  <c r="E94" i="6"/>
  <c r="E85" i="6"/>
  <c r="F85" i="6" s="1"/>
  <c r="E87" i="6"/>
  <c r="E91" i="6"/>
  <c r="F91" i="6" s="1"/>
  <c r="E93" i="6"/>
  <c r="E137" i="6"/>
  <c r="F137" i="6" s="1"/>
  <c r="C18" i="5"/>
  <c r="E45" i="22"/>
  <c r="E39" i="22"/>
  <c r="E54" i="22"/>
  <c r="E46" i="22"/>
  <c r="E40" i="22"/>
  <c r="E36" i="22"/>
  <c r="E30" i="22"/>
  <c r="D284" i="18"/>
  <c r="E31" i="17"/>
  <c r="F31" i="17" s="1"/>
  <c r="D263" i="17"/>
  <c r="E280" i="17"/>
  <c r="F280" i="17" s="1"/>
  <c r="C49" i="17"/>
  <c r="C50" i="17" s="1"/>
  <c r="C91" i="17"/>
  <c r="C92" i="17" s="1"/>
  <c r="C103" i="17"/>
  <c r="D61" i="17"/>
  <c r="E21" i="17"/>
  <c r="E102" i="17"/>
  <c r="F102" i="17" s="1"/>
  <c r="E38" i="22"/>
  <c r="E103" i="17"/>
  <c r="D175" i="17"/>
  <c r="D176" i="17" s="1"/>
  <c r="D62" i="17"/>
  <c r="D63" i="17" s="1"/>
  <c r="C35" i="22" l="1"/>
  <c r="C45" i="22"/>
  <c r="C39" i="22"/>
  <c r="C53" i="22"/>
  <c r="C29" i="22"/>
  <c r="C47" i="22" s="1"/>
  <c r="F36" i="9"/>
  <c r="F89" i="9"/>
  <c r="E89" i="9"/>
  <c r="C295" i="18"/>
  <c r="E36" i="9"/>
  <c r="E76" i="9"/>
  <c r="F76" i="9" s="1"/>
  <c r="E102" i="9"/>
  <c r="F102" i="9" s="1"/>
  <c r="F115" i="10"/>
  <c r="E115" i="10"/>
  <c r="F15" i="12"/>
  <c r="E15" i="12"/>
  <c r="E25" i="13"/>
  <c r="E27" i="13" s="1"/>
  <c r="E21" i="13" s="1"/>
  <c r="E15" i="13"/>
  <c r="C193" i="17"/>
  <c r="C266" i="17" s="1"/>
  <c r="C124" i="17"/>
  <c r="C126" i="17" s="1"/>
  <c r="E126" i="17" s="1"/>
  <c r="F126" i="17" s="1"/>
  <c r="C192" i="17"/>
  <c r="E145" i="17"/>
  <c r="F145" i="17" s="1"/>
  <c r="F159" i="17"/>
  <c r="C160" i="17"/>
  <c r="C161" i="17"/>
  <c r="C162" i="17" s="1"/>
  <c r="D283" i="17"/>
  <c r="E283" i="17" s="1"/>
  <c r="F283" i="17" s="1"/>
  <c r="E203" i="17"/>
  <c r="F203" i="17" s="1"/>
  <c r="D205" i="17"/>
  <c r="E205" i="17" s="1"/>
  <c r="F205" i="17" s="1"/>
  <c r="E33" i="18"/>
  <c r="C304" i="17"/>
  <c r="E123" i="17"/>
  <c r="F123" i="17" s="1"/>
  <c r="E35" i="22"/>
  <c r="E29" i="22"/>
  <c r="E55" i="22" s="1"/>
  <c r="E53" i="22"/>
  <c r="F44" i="6"/>
  <c r="C52" i="6"/>
  <c r="D17" i="13"/>
  <c r="D28" i="13" s="1"/>
  <c r="D24" i="13"/>
  <c r="D20" i="13" s="1"/>
  <c r="E56" i="22"/>
  <c r="E48" i="22"/>
  <c r="E53" i="8"/>
  <c r="C17" i="12"/>
  <c r="F198" i="9"/>
  <c r="C207" i="9"/>
  <c r="E138" i="8"/>
  <c r="E140" i="8"/>
  <c r="E135" i="8"/>
  <c r="C23" i="22"/>
  <c r="C33" i="22"/>
  <c r="C34" i="22"/>
  <c r="E267" i="17"/>
  <c r="F267" i="17" s="1"/>
  <c r="C286" i="17"/>
  <c r="F21" i="17"/>
  <c r="C146" i="17"/>
  <c r="E60" i="17"/>
  <c r="E119" i="10"/>
  <c r="D91" i="17"/>
  <c r="D161" i="17"/>
  <c r="D162" i="17" s="1"/>
  <c r="E162" i="17" s="1"/>
  <c r="D126" i="17"/>
  <c r="D127" i="17" s="1"/>
  <c r="F95" i="17"/>
  <c r="D138" i="17"/>
  <c r="D139" i="17" s="1"/>
  <c r="D207" i="17"/>
  <c r="D208" i="17" s="1"/>
  <c r="D209" i="17" s="1"/>
  <c r="C277" i="17"/>
  <c r="C206" i="17"/>
  <c r="C190" i="17"/>
  <c r="C261" i="17"/>
  <c r="C200" i="17"/>
  <c r="C199" i="17"/>
  <c r="E199" i="17" s="1"/>
  <c r="F199" i="17" s="1"/>
  <c r="C274" i="17"/>
  <c r="C300" i="17" s="1"/>
  <c r="F179" i="9"/>
  <c r="E179" i="9"/>
  <c r="C105" i="17"/>
  <c r="C106" i="17" s="1"/>
  <c r="C324" i="17" s="1"/>
  <c r="F32" i="17"/>
  <c r="E95" i="6"/>
  <c r="F95" i="6" s="1"/>
  <c r="C17" i="13"/>
  <c r="C28" i="13" s="1"/>
  <c r="C70" i="13" s="1"/>
  <c r="C72" i="13" s="1"/>
  <c r="C69" i="13" s="1"/>
  <c r="C24" i="13"/>
  <c r="F117" i="10"/>
  <c r="E117" i="10"/>
  <c r="C60" i="17"/>
  <c r="F59" i="17"/>
  <c r="D104" i="17"/>
  <c r="D174" i="17"/>
  <c r="D266" i="17"/>
  <c r="D194" i="17"/>
  <c r="C76" i="18"/>
  <c r="C77" i="18" s="1"/>
  <c r="F75" i="11"/>
  <c r="F107" i="15"/>
  <c r="D253" i="18"/>
  <c r="E233" i="18"/>
  <c r="F167" i="7"/>
  <c r="E47" i="12"/>
  <c r="G31" i="14"/>
  <c r="G33" i="14"/>
  <c r="G36" i="14" s="1"/>
  <c r="G38" i="14" s="1"/>
  <c r="G40" i="14" s="1"/>
  <c r="I17" i="14"/>
  <c r="E227" i="17"/>
  <c r="F227" i="17" s="1"/>
  <c r="C144" i="18"/>
  <c r="C163" i="18"/>
  <c r="C77" i="22"/>
  <c r="C102" i="22"/>
  <c r="D160" i="17"/>
  <c r="E264" i="17"/>
  <c r="F264" i="17" s="1"/>
  <c r="D265" i="17"/>
  <c r="D105" i="17"/>
  <c r="D106" i="17" s="1"/>
  <c r="E32" i="18"/>
  <c r="E167" i="7"/>
  <c r="E23" i="9"/>
  <c r="F23" i="9" s="1"/>
  <c r="C27" i="13"/>
  <c r="D48" i="13"/>
  <c r="D42" i="13" s="1"/>
  <c r="D59" i="13"/>
  <c r="D61" i="13" s="1"/>
  <c r="D57" i="13" s="1"/>
  <c r="E13" i="16"/>
  <c r="F13" i="16" s="1"/>
  <c r="C37" i="17"/>
  <c r="E37" i="17" s="1"/>
  <c r="F37" i="17" s="1"/>
  <c r="E35" i="17"/>
  <c r="E59" i="17"/>
  <c r="C46" i="20"/>
  <c r="C95" i="6"/>
  <c r="E62" i="9"/>
  <c r="E180" i="17"/>
  <c r="C90" i="17"/>
  <c r="E89" i="17"/>
  <c r="F89" i="17" s="1"/>
  <c r="C25" i="8"/>
  <c r="C27" i="8" s="1"/>
  <c r="C15" i="8"/>
  <c r="E114" i="9"/>
  <c r="F114" i="9" s="1"/>
  <c r="F154" i="9"/>
  <c r="E154" i="9"/>
  <c r="D208" i="9"/>
  <c r="E208" i="9" s="1"/>
  <c r="F208" i="9" s="1"/>
  <c r="D75" i="11"/>
  <c r="E75" i="11" s="1"/>
  <c r="F35" i="17"/>
  <c r="C65" i="18"/>
  <c r="C66" i="18" s="1"/>
  <c r="C289" i="18"/>
  <c r="D239" i="17"/>
  <c r="E238" i="17"/>
  <c r="F238" i="17" s="1"/>
  <c r="D76" i="18"/>
  <c r="E280" i="18"/>
  <c r="D65" i="18"/>
  <c r="E65" i="18" s="1"/>
  <c r="E60" i="18"/>
  <c r="D71" i="18"/>
  <c r="E71" i="18" s="1"/>
  <c r="E70" i="18"/>
  <c r="E48" i="6"/>
  <c r="F48" i="6" s="1"/>
  <c r="E35" i="7"/>
  <c r="C149" i="8"/>
  <c r="C139" i="8" s="1"/>
  <c r="E50" i="9"/>
  <c r="F50" i="9" s="1"/>
  <c r="E193" i="9"/>
  <c r="F193" i="9"/>
  <c r="E114" i="10"/>
  <c r="F92" i="15"/>
  <c r="E107" i="15"/>
  <c r="E230" i="17"/>
  <c r="F230" i="17" s="1"/>
  <c r="E39" i="18"/>
  <c r="C217" i="18"/>
  <c r="C241" i="18" s="1"/>
  <c r="C242" i="18"/>
  <c r="C222" i="18"/>
  <c r="E230" i="18"/>
  <c r="E36" i="20"/>
  <c r="F36" i="20" s="1"/>
  <c r="F33" i="20"/>
  <c r="E48" i="5"/>
  <c r="E124" i="17"/>
  <c r="E189" i="18"/>
  <c r="E124" i="6"/>
  <c r="F124" i="6" s="1"/>
  <c r="D57" i="8"/>
  <c r="D62" i="8" s="1"/>
  <c r="D49" i="8"/>
  <c r="C88" i="8"/>
  <c r="C90" i="8" s="1"/>
  <c r="C86" i="8" s="1"/>
  <c r="C77" i="8"/>
  <c r="C71" i="8" s="1"/>
  <c r="E79" i="8"/>
  <c r="D149" i="8"/>
  <c r="D137" i="8" s="1"/>
  <c r="C166" i="8"/>
  <c r="E83" i="10"/>
  <c r="E108" i="10"/>
  <c r="E31" i="14"/>
  <c r="E37" i="15"/>
  <c r="E92" i="15"/>
  <c r="F23" i="17"/>
  <c r="E44" i="17"/>
  <c r="F44" i="17" s="1"/>
  <c r="D111" i="17"/>
  <c r="E111" i="17" s="1"/>
  <c r="F111" i="17" s="1"/>
  <c r="F144" i="17"/>
  <c r="E290" i="17"/>
  <c r="F290" i="17" s="1"/>
  <c r="E36" i="18"/>
  <c r="D239" i="18"/>
  <c r="E239" i="18" s="1"/>
  <c r="E215" i="18"/>
  <c r="D316" i="18"/>
  <c r="D320" i="18" s="1"/>
  <c r="E314" i="18"/>
  <c r="C103" i="22"/>
  <c r="H31" i="14"/>
  <c r="E226" i="17"/>
  <c r="F226" i="17" s="1"/>
  <c r="D229" i="18"/>
  <c r="C49" i="19"/>
  <c r="E166" i="8"/>
  <c r="E59" i="10"/>
  <c r="C50" i="13"/>
  <c r="D146" i="17"/>
  <c r="E146" i="17" s="1"/>
  <c r="F146" i="17" s="1"/>
  <c r="C262" i="17"/>
  <c r="C215" i="17"/>
  <c r="C216" i="17" s="1"/>
  <c r="E294" i="17"/>
  <c r="F294" i="17"/>
  <c r="E75" i="18"/>
  <c r="E25" i="20"/>
  <c r="F25" i="20" s="1"/>
  <c r="E43" i="20"/>
  <c r="E46" i="20" s="1"/>
  <c r="F46" i="20" s="1"/>
  <c r="E278" i="17"/>
  <c r="F278" i="17" s="1"/>
  <c r="D102" i="22"/>
  <c r="D101" i="22"/>
  <c r="D103" i="22" s="1"/>
  <c r="E19" i="20"/>
  <c r="F19" i="20" s="1"/>
  <c r="C188" i="7"/>
  <c r="E188" i="7" s="1"/>
  <c r="C79" i="8"/>
  <c r="E35" i="10"/>
  <c r="F113" i="10"/>
  <c r="C122" i="10"/>
  <c r="F122" i="10" s="1"/>
  <c r="E50" i="13"/>
  <c r="E36" i="17"/>
  <c r="F36" i="17" s="1"/>
  <c r="C283" i="17"/>
  <c r="E220" i="18"/>
  <c r="D77" i="22"/>
  <c r="E73" i="4"/>
  <c r="F73" i="4" s="1"/>
  <c r="E18" i="7"/>
  <c r="F18" i="7" s="1"/>
  <c r="E30" i="7"/>
  <c r="F30" i="7" s="1"/>
  <c r="E60" i="10"/>
  <c r="D122" i="10"/>
  <c r="E80" i="13"/>
  <c r="E77" i="13" s="1"/>
  <c r="F100" i="15"/>
  <c r="D181" i="17"/>
  <c r="F44" i="20"/>
  <c r="E47" i="6"/>
  <c r="F47" i="6" s="1"/>
  <c r="E92" i="6"/>
  <c r="F92" i="6" s="1"/>
  <c r="F121" i="7"/>
  <c r="D79" i="8"/>
  <c r="C109" i="8"/>
  <c r="C106" i="8" s="1"/>
  <c r="D166" i="8"/>
  <c r="D207" i="9"/>
  <c r="E207" i="9" s="1"/>
  <c r="F207" i="9" s="1"/>
  <c r="E107" i="10"/>
  <c r="D50" i="13"/>
  <c r="C80" i="13"/>
  <c r="C77" i="13" s="1"/>
  <c r="E23" i="15"/>
  <c r="E229" i="17"/>
  <c r="F229" i="17" s="1"/>
  <c r="F295" i="17"/>
  <c r="E227" i="18"/>
  <c r="E251" i="18"/>
  <c r="E279" i="18"/>
  <c r="E282" i="18"/>
  <c r="E141" i="9"/>
  <c r="F141" i="9" s="1"/>
  <c r="C43" i="11"/>
  <c r="D288" i="17"/>
  <c r="D25" i="8"/>
  <c r="D27" i="8" s="1"/>
  <c r="D15" i="8"/>
  <c r="C320" i="18"/>
  <c r="E320" i="18" s="1"/>
  <c r="D195" i="17"/>
  <c r="C113" i="18"/>
  <c r="E41" i="4"/>
  <c r="D43" i="4"/>
  <c r="C43" i="4"/>
  <c r="E22" i="4"/>
  <c r="F22" i="4" s="1"/>
  <c r="E56" i="4"/>
  <c r="F56" i="4" s="1"/>
  <c r="D22" i="13"/>
  <c r="D70" i="13"/>
  <c r="D72" i="13" s="1"/>
  <c r="D69" i="13" s="1"/>
  <c r="D323" i="17"/>
  <c r="D183" i="17"/>
  <c r="E137" i="17"/>
  <c r="F137" i="17" s="1"/>
  <c r="C138" i="17"/>
  <c r="C207" i="17"/>
  <c r="D49" i="12"/>
  <c r="D35" i="5"/>
  <c r="F103" i="17"/>
  <c r="C36" i="14"/>
  <c r="C38" i="14" s="1"/>
  <c r="C40" i="14" s="1"/>
  <c r="I33" i="14"/>
  <c r="I36" i="14" s="1"/>
  <c r="I38" i="14" s="1"/>
  <c r="I40" i="14" s="1"/>
  <c r="H33" i="14"/>
  <c r="H36" i="14" s="1"/>
  <c r="H38" i="14" s="1"/>
  <c r="H40" i="14" s="1"/>
  <c r="E67" i="17"/>
  <c r="F67" i="17" s="1"/>
  <c r="C55" i="22"/>
  <c r="C112" i="22"/>
  <c r="F43" i="20"/>
  <c r="F41" i="4"/>
  <c r="C127" i="18"/>
  <c r="C122" i="18"/>
  <c r="C112" i="18"/>
  <c r="C115" i="18"/>
  <c r="C125" i="18"/>
  <c r="C110" i="18"/>
  <c r="C114" i="18"/>
  <c r="C109" i="18"/>
  <c r="C111" i="18"/>
  <c r="C126" i="18"/>
  <c r="C123" i="18"/>
  <c r="F162" i="17"/>
  <c r="E105" i="17"/>
  <c r="F105" i="17" s="1"/>
  <c r="E203" i="9"/>
  <c r="F203" i="9" s="1"/>
  <c r="E38" i="11"/>
  <c r="F38" i="11" s="1"/>
  <c r="E33" i="5"/>
  <c r="F33" i="5" s="1"/>
  <c r="C21" i="5"/>
  <c r="E152" i="8"/>
  <c r="E298" i="17"/>
  <c r="D245" i="18"/>
  <c r="E245" i="18" s="1"/>
  <c r="E221" i="18"/>
  <c r="C288" i="17"/>
  <c r="C110" i="22"/>
  <c r="E16" i="5"/>
  <c r="F16" i="5" s="1"/>
  <c r="F188" i="7"/>
  <c r="E156" i="8"/>
  <c r="E139" i="8"/>
  <c r="E24" i="7"/>
  <c r="F24" i="7" s="1"/>
  <c r="D95" i="7"/>
  <c r="C43" i="8"/>
  <c r="C57" i="8"/>
  <c r="C62" i="8" s="1"/>
  <c r="C154" i="8"/>
  <c r="F94" i="17"/>
  <c r="F100" i="17"/>
  <c r="C172" i="17"/>
  <c r="F171" i="17"/>
  <c r="E285" i="17"/>
  <c r="E239" i="17"/>
  <c r="F239" i="17" s="1"/>
  <c r="D180" i="18"/>
  <c r="D168" i="18"/>
  <c r="C229" i="18"/>
  <c r="E229" i="18" s="1"/>
  <c r="E205" i="18"/>
  <c r="C175" i="18"/>
  <c r="E38" i="4"/>
  <c r="F38" i="4" s="1"/>
  <c r="E25" i="8"/>
  <c r="E27" i="8" s="1"/>
  <c r="E15" i="8"/>
  <c r="E53" i="17"/>
  <c r="F53" i="17" s="1"/>
  <c r="E265" i="18"/>
  <c r="C138" i="8"/>
  <c r="C137" i="8"/>
  <c r="E154" i="8"/>
  <c r="E137" i="8"/>
  <c r="C180" i="18"/>
  <c r="C234" i="18"/>
  <c r="C116" i="19"/>
  <c r="C119" i="19" s="1"/>
  <c r="C123" i="19" s="1"/>
  <c r="E278" i="18"/>
  <c r="C109" i="22"/>
  <c r="E161" i="17"/>
  <c r="F161" i="17" s="1"/>
  <c r="E48" i="17"/>
  <c r="F48" i="17" s="1"/>
  <c r="D169" i="18"/>
  <c r="C211" i="18"/>
  <c r="E18" i="5"/>
  <c r="F18" i="5" s="1"/>
  <c r="E136" i="8"/>
  <c r="E127" i="9"/>
  <c r="F127" i="9" s="1"/>
  <c r="E56" i="11"/>
  <c r="F56" i="11" s="1"/>
  <c r="E262" i="17"/>
  <c r="F262" i="17" s="1"/>
  <c r="D49" i="17"/>
  <c r="D196" i="17"/>
  <c r="E61" i="4"/>
  <c r="F61" i="4" s="1"/>
  <c r="D65" i="4"/>
  <c r="E65" i="4" s="1"/>
  <c r="F65" i="4" s="1"/>
  <c r="F89" i="6"/>
  <c r="C282" i="17"/>
  <c r="D277" i="17"/>
  <c r="D214" i="17"/>
  <c r="E188" i="17"/>
  <c r="F188" i="17" s="1"/>
  <c r="D190" i="17"/>
  <c r="D206" i="17"/>
  <c r="E206" i="17" s="1"/>
  <c r="F206" i="17" s="1"/>
  <c r="D269" i="17"/>
  <c r="D215" i="17"/>
  <c r="E204" i="17"/>
  <c r="F204" i="17" s="1"/>
  <c r="C306" i="17"/>
  <c r="E250" i="17"/>
  <c r="F250" i="17" s="1"/>
  <c r="E41" i="5"/>
  <c r="F41" i="5" s="1"/>
  <c r="D41" i="20"/>
  <c r="E39" i="20"/>
  <c r="E157" i="8"/>
  <c r="F112" i="10"/>
  <c r="C121" i="10"/>
  <c r="F121" i="10" s="1"/>
  <c r="E41" i="11"/>
  <c r="F41" i="11" s="1"/>
  <c r="F285" i="17"/>
  <c r="E183" i="7"/>
  <c r="F183" i="7"/>
  <c r="F75" i="9"/>
  <c r="F21" i="16"/>
  <c r="E21" i="16"/>
  <c r="E218" i="18"/>
  <c r="D217" i="18"/>
  <c r="D242" i="18"/>
  <c r="E242" i="18" s="1"/>
  <c r="D222" i="18"/>
  <c r="E302" i="18"/>
  <c r="D23" i="22"/>
  <c r="D33" i="22"/>
  <c r="D34" i="22"/>
  <c r="D22" i="22"/>
  <c r="C265" i="17"/>
  <c r="E266" i="17"/>
  <c r="F266" i="17" s="1"/>
  <c r="D90" i="17"/>
  <c r="E90" i="17" s="1"/>
  <c r="F90" i="17" s="1"/>
  <c r="D271" i="17"/>
  <c r="D44" i="18"/>
  <c r="C59" i="13"/>
  <c r="C61" i="13" s="1"/>
  <c r="C57" i="13" s="1"/>
  <c r="C48" i="13"/>
  <c r="C42" i="13" s="1"/>
  <c r="F17" i="16"/>
  <c r="E76" i="17"/>
  <c r="F76" i="17" s="1"/>
  <c r="D77" i="17"/>
  <c r="E77" i="17" s="1"/>
  <c r="E135" i="17"/>
  <c r="F135" i="17"/>
  <c r="E172" i="17"/>
  <c r="E189" i="17"/>
  <c r="F189" i="17" s="1"/>
  <c r="D200" i="17"/>
  <c r="D274" i="17"/>
  <c r="E198" i="17"/>
  <c r="F198" i="17" s="1"/>
  <c r="F35" i="7"/>
  <c r="D53" i="8"/>
  <c r="D43" i="8"/>
  <c r="F179" i="17"/>
  <c r="E179" i="17"/>
  <c r="C181" i="17"/>
  <c r="D234" i="18"/>
  <c r="D211" i="18"/>
  <c r="D243" i="18"/>
  <c r="E219" i="18"/>
  <c r="E231" i="18"/>
  <c r="C252" i="18"/>
  <c r="E301" i="18"/>
  <c r="D303" i="18"/>
  <c r="D86" i="8"/>
  <c r="E49" i="8"/>
  <c r="E43" i="8"/>
  <c r="F22" i="11"/>
  <c r="F17" i="17"/>
  <c r="E289" i="18"/>
  <c r="E165" i="18"/>
  <c r="E261" i="18"/>
  <c r="C240" i="18"/>
  <c r="E216" i="18"/>
  <c r="F20" i="20"/>
  <c r="E37" i="9"/>
  <c r="F37" i="9" s="1"/>
  <c r="E42" i="18"/>
  <c r="D66" i="18"/>
  <c r="D294" i="18"/>
  <c r="E59" i="7"/>
  <c r="F59" i="7" s="1"/>
  <c r="E299" i="17"/>
  <c r="F299" i="17" s="1"/>
  <c r="E72" i="18"/>
  <c r="E166" i="18"/>
  <c r="E174" i="18"/>
  <c r="C326" i="18"/>
  <c r="C95" i="7"/>
  <c r="E72" i="10"/>
  <c r="E84" i="10"/>
  <c r="E96" i="10"/>
  <c r="I31" i="14"/>
  <c r="F23" i="15"/>
  <c r="F296" i="17"/>
  <c r="C284" i="18"/>
  <c r="E284" i="18" s="1"/>
  <c r="D52" i="6"/>
  <c r="F90" i="7"/>
  <c r="E88" i="8"/>
  <c r="E90" i="8" s="1"/>
  <c r="E86" i="8" s="1"/>
  <c r="E77" i="8"/>
  <c r="E71" i="8" s="1"/>
  <c r="E24" i="9"/>
  <c r="F24" i="9" s="1"/>
  <c r="E36" i="10"/>
  <c r="E48" i="10"/>
  <c r="E75" i="15"/>
  <c r="F75" i="15" s="1"/>
  <c r="E159" i="17"/>
  <c r="E38" i="18"/>
  <c r="D121" i="10"/>
  <c r="D43" i="11"/>
  <c r="E50" i="15"/>
  <c r="F70" i="15"/>
  <c r="F29" i="17"/>
  <c r="F52" i="17"/>
  <c r="C43" i="18"/>
  <c r="E176" i="18"/>
  <c r="E77" i="22"/>
  <c r="E113" i="22" s="1"/>
  <c r="E61" i="13"/>
  <c r="E57" i="13" s="1"/>
  <c r="F16" i="15"/>
  <c r="F37" i="15"/>
  <c r="E60" i="15"/>
  <c r="F60" i="15" s="1"/>
  <c r="F65" i="15"/>
  <c r="E17" i="16"/>
  <c r="F24" i="17"/>
  <c r="D175" i="18"/>
  <c r="D163" i="18"/>
  <c r="E163" i="18" s="1"/>
  <c r="F58" i="15"/>
  <c r="F58" i="17"/>
  <c r="E66" i="17"/>
  <c r="F66" i="17" s="1"/>
  <c r="C68" i="17"/>
  <c r="E177" i="18"/>
  <c r="C37" i="19"/>
  <c r="C38" i="19" s="1"/>
  <c r="C127" i="19" s="1"/>
  <c r="C129" i="19" s="1"/>
  <c r="C133" i="19" s="1"/>
  <c r="E45" i="20"/>
  <c r="F45" i="20" s="1"/>
  <c r="C22" i="19"/>
  <c r="C152" i="8" l="1"/>
  <c r="C157" i="8"/>
  <c r="C155" i="8"/>
  <c r="E76" i="18"/>
  <c r="D77" i="18"/>
  <c r="E43" i="11"/>
  <c r="F43" i="11" s="1"/>
  <c r="C136" i="8"/>
  <c r="C141" i="8" s="1"/>
  <c r="C153" i="8"/>
  <c r="E43" i="4"/>
  <c r="F43" i="4" s="1"/>
  <c r="D109" i="22"/>
  <c r="D108" i="22"/>
  <c r="C61" i="17"/>
  <c r="F60" i="17"/>
  <c r="D148" i="17"/>
  <c r="E175" i="18"/>
  <c r="E121" i="10"/>
  <c r="E234" i="18"/>
  <c r="E193" i="17"/>
  <c r="F193" i="17" s="1"/>
  <c r="D138" i="8"/>
  <c r="C140" i="8"/>
  <c r="D286" i="17"/>
  <c r="E286" i="17" s="1"/>
  <c r="F286" i="17" s="1"/>
  <c r="C127" i="17"/>
  <c r="E127" i="17" s="1"/>
  <c r="E316" i="18"/>
  <c r="D152" i="8"/>
  <c r="D155" i="8"/>
  <c r="D153" i="8"/>
  <c r="D157" i="8"/>
  <c r="D156" i="8"/>
  <c r="D154" i="8"/>
  <c r="E153" i="8"/>
  <c r="E155" i="8"/>
  <c r="E158" i="8" s="1"/>
  <c r="D210" i="17"/>
  <c r="D211" i="17" s="1"/>
  <c r="C21" i="13"/>
  <c r="C22" i="13"/>
  <c r="C20" i="13"/>
  <c r="E160" i="17"/>
  <c r="F160" i="17" s="1"/>
  <c r="C124" i="18"/>
  <c r="C121" i="18"/>
  <c r="C271" i="17"/>
  <c r="E261" i="17"/>
  <c r="F261" i="17" s="1"/>
  <c r="C268" i="17"/>
  <c r="E268" i="17" s="1"/>
  <c r="F268" i="17" s="1"/>
  <c r="C294" i="18"/>
  <c r="E24" i="13"/>
  <c r="E20" i="13" s="1"/>
  <c r="E17" i="13"/>
  <c r="E28" i="13" s="1"/>
  <c r="E192" i="17"/>
  <c r="F192" i="17" s="1"/>
  <c r="F124" i="17"/>
  <c r="D136" i="8"/>
  <c r="C24" i="8"/>
  <c r="C20" i="8" s="1"/>
  <c r="C17" i="8"/>
  <c r="D92" i="17"/>
  <c r="E91" i="17"/>
  <c r="F91" i="17" s="1"/>
  <c r="E52" i="6"/>
  <c r="F52" i="6" s="1"/>
  <c r="E294" i="18"/>
  <c r="E200" i="17"/>
  <c r="F200" i="17" s="1"/>
  <c r="C194" i="17"/>
  <c r="C195" i="17" s="1"/>
  <c r="E195" i="17" s="1"/>
  <c r="C125" i="17"/>
  <c r="D139" i="8"/>
  <c r="D141" i="8" s="1"/>
  <c r="E37" i="22"/>
  <c r="E122" i="10"/>
  <c r="C21" i="8"/>
  <c r="C111" i="22"/>
  <c r="C108" i="22"/>
  <c r="C40" i="22"/>
  <c r="C30" i="22"/>
  <c r="C36" i="22"/>
  <c r="C54" i="22"/>
  <c r="C46" i="22"/>
  <c r="E17" i="12"/>
  <c r="F17" i="12" s="1"/>
  <c r="C20" i="12"/>
  <c r="C156" i="8"/>
  <c r="D135" i="8"/>
  <c r="E138" i="17"/>
  <c r="D140" i="8"/>
  <c r="C135" i="8"/>
  <c r="E47" i="22"/>
  <c r="C223" i="18"/>
  <c r="C247" i="18" s="1"/>
  <c r="C246" i="18"/>
  <c r="C287" i="17"/>
  <c r="C279" i="17"/>
  <c r="C284" i="17"/>
  <c r="E190" i="17"/>
  <c r="F190" i="17" s="1"/>
  <c r="C37" i="22"/>
  <c r="C263" i="17"/>
  <c r="E263" i="17" s="1"/>
  <c r="F263" i="17" s="1"/>
  <c r="C272" i="17"/>
  <c r="D140" i="17"/>
  <c r="D141" i="17" s="1"/>
  <c r="D322" i="17" s="1"/>
  <c r="C168" i="18"/>
  <c r="E168" i="18" s="1"/>
  <c r="E144" i="18"/>
  <c r="C145" i="18"/>
  <c r="D259" i="18"/>
  <c r="D263" i="18" s="1"/>
  <c r="E269" i="17"/>
  <c r="F269" i="17" s="1"/>
  <c r="D270" i="17"/>
  <c r="E270" i="17" s="1"/>
  <c r="F270" i="17" s="1"/>
  <c r="E66" i="18"/>
  <c r="D295" i="18"/>
  <c r="E295" i="18" s="1"/>
  <c r="C235" i="18"/>
  <c r="E21" i="8"/>
  <c r="E240" i="18"/>
  <c r="C253" i="18"/>
  <c r="E253" i="18" s="1"/>
  <c r="C196" i="17"/>
  <c r="C35" i="5"/>
  <c r="E207" i="17"/>
  <c r="F207" i="17" s="1"/>
  <c r="C208" i="17"/>
  <c r="E288" i="17"/>
  <c r="E303" i="18"/>
  <c r="D306" i="18"/>
  <c r="F181" i="17"/>
  <c r="E181" i="17"/>
  <c r="D300" i="17"/>
  <c r="E300" i="17" s="1"/>
  <c r="F300" i="17" s="1"/>
  <c r="E274" i="17"/>
  <c r="F274" i="17" s="1"/>
  <c r="E265" i="17"/>
  <c r="F265" i="17" s="1"/>
  <c r="E217" i="18"/>
  <c r="D241" i="18"/>
  <c r="E241" i="18" s="1"/>
  <c r="D75" i="4"/>
  <c r="E75" i="4" s="1"/>
  <c r="F75" i="4" s="1"/>
  <c r="E243" i="18"/>
  <c r="D252" i="18"/>
  <c r="C289" i="17"/>
  <c r="F288" i="17"/>
  <c r="C291" i="17"/>
  <c r="C330" i="18"/>
  <c r="E330" i="18" s="1"/>
  <c r="E326" i="18"/>
  <c r="E211" i="18"/>
  <c r="D235" i="18"/>
  <c r="C281" i="17"/>
  <c r="E282" i="17"/>
  <c r="F282" i="17" s="1"/>
  <c r="E180" i="18"/>
  <c r="D216" i="17"/>
  <c r="E216" i="17" s="1"/>
  <c r="F216" i="17" s="1"/>
  <c r="E214" i="17"/>
  <c r="F214" i="17" s="1"/>
  <c r="D254" i="17"/>
  <c r="C254" i="18"/>
  <c r="D304" i="17"/>
  <c r="E306" i="17"/>
  <c r="D287" i="17"/>
  <c r="D284" i="17"/>
  <c r="E284" i="17" s="1"/>
  <c r="F284" i="17" s="1"/>
  <c r="E277" i="17"/>
  <c r="F277" i="17" s="1"/>
  <c r="D279" i="17"/>
  <c r="E279" i="17" s="1"/>
  <c r="F279" i="17" s="1"/>
  <c r="D43" i="5"/>
  <c r="E35" i="5"/>
  <c r="E49" i="17"/>
  <c r="F49" i="17" s="1"/>
  <c r="D50" i="17"/>
  <c r="F127" i="17"/>
  <c r="C197" i="17"/>
  <c r="D39" i="22"/>
  <c r="D35" i="22"/>
  <c r="D29" i="22"/>
  <c r="D110" i="22"/>
  <c r="D45" i="22"/>
  <c r="D53" i="22"/>
  <c r="D272" i="17"/>
  <c r="C116" i="18"/>
  <c r="C117" i="18" s="1"/>
  <c r="E21" i="5"/>
  <c r="F21" i="5" s="1"/>
  <c r="C173" i="17"/>
  <c r="F172" i="17"/>
  <c r="E95" i="7"/>
  <c r="F95" i="7" s="1"/>
  <c r="F39" i="20"/>
  <c r="E41" i="20"/>
  <c r="F41" i="20" s="1"/>
  <c r="E24" i="8"/>
  <c r="E20" i="8" s="1"/>
  <c r="E17" i="8"/>
  <c r="C128" i="18"/>
  <c r="C129" i="18" s="1"/>
  <c r="D21" i="8"/>
  <c r="D223" i="18"/>
  <c r="D246" i="18"/>
  <c r="E222" i="18"/>
  <c r="E108" i="22"/>
  <c r="E110" i="22"/>
  <c r="E109" i="22"/>
  <c r="E111" i="22"/>
  <c r="E112" i="22"/>
  <c r="C140" i="17"/>
  <c r="F138" i="17"/>
  <c r="C139" i="17"/>
  <c r="E43" i="18"/>
  <c r="C44" i="18"/>
  <c r="C259" i="18"/>
  <c r="E68" i="17"/>
  <c r="F68" i="17" s="1"/>
  <c r="D85" i="18"/>
  <c r="D88" i="18"/>
  <c r="D83" i="18"/>
  <c r="D258" i="18"/>
  <c r="D101" i="18"/>
  <c r="D84" i="18"/>
  <c r="D97" i="18"/>
  <c r="D100" i="18"/>
  <c r="D98" i="18"/>
  <c r="D86" i="18"/>
  <c r="D99" i="18"/>
  <c r="D95" i="18"/>
  <c r="D96" i="18"/>
  <c r="D89" i="18"/>
  <c r="D87" i="18"/>
  <c r="D181" i="18"/>
  <c r="D54" i="22"/>
  <c r="D30" i="22"/>
  <c r="D40" i="22"/>
  <c r="D111" i="22"/>
  <c r="D46" i="22"/>
  <c r="D36" i="22"/>
  <c r="D255" i="17"/>
  <c r="E255" i="17" s="1"/>
  <c r="F255" i="17" s="1"/>
  <c r="E215" i="17"/>
  <c r="F215" i="17" s="1"/>
  <c r="D197" i="17"/>
  <c r="E141" i="8"/>
  <c r="E106" i="17"/>
  <c r="F106" i="17" s="1"/>
  <c r="C113" i="17"/>
  <c r="D24" i="8"/>
  <c r="D20" i="8" s="1"/>
  <c r="D17" i="8"/>
  <c r="E197" i="17" l="1"/>
  <c r="F197" i="17" s="1"/>
  <c r="C131" i="18"/>
  <c r="E61" i="17"/>
  <c r="F61" i="17" s="1"/>
  <c r="C104" i="17"/>
  <c r="E104" i="17" s="1"/>
  <c r="F104" i="17" s="1"/>
  <c r="C62" i="17"/>
  <c r="D122" i="18"/>
  <c r="D125" i="18"/>
  <c r="E125" i="18" s="1"/>
  <c r="D113" i="18"/>
  <c r="E113" i="18" s="1"/>
  <c r="D121" i="18"/>
  <c r="E121" i="18" s="1"/>
  <c r="D114" i="18"/>
  <c r="E114" i="18" s="1"/>
  <c r="D115" i="18"/>
  <c r="E115" i="18" s="1"/>
  <c r="D109" i="18"/>
  <c r="E109" i="18" s="1"/>
  <c r="D124" i="18"/>
  <c r="E124" i="18" s="1"/>
  <c r="D123" i="18"/>
  <c r="E123" i="18" s="1"/>
  <c r="D112" i="18"/>
  <c r="E112" i="18" s="1"/>
  <c r="D110" i="18"/>
  <c r="D127" i="18"/>
  <c r="E127" i="18" s="1"/>
  <c r="D126" i="18"/>
  <c r="E126" i="18" s="1"/>
  <c r="D111" i="18"/>
  <c r="E111" i="18" s="1"/>
  <c r="E77" i="18"/>
  <c r="E246" i="18"/>
  <c r="C169" i="18"/>
  <c r="E169" i="18" s="1"/>
  <c r="E145" i="18"/>
  <c r="E194" i="17"/>
  <c r="F194" i="17" s="1"/>
  <c r="E272" i="17"/>
  <c r="F272" i="17" s="1"/>
  <c r="E125" i="17"/>
  <c r="F125" i="17" s="1"/>
  <c r="C181" i="18"/>
  <c r="E181" i="18" s="1"/>
  <c r="D158" i="8"/>
  <c r="C28" i="8"/>
  <c r="C112" i="8"/>
  <c r="C111" i="8" s="1"/>
  <c r="C158" i="8"/>
  <c r="E20" i="12"/>
  <c r="F20" i="12" s="1"/>
  <c r="C34" i="12"/>
  <c r="E70" i="13"/>
  <c r="E72" i="13" s="1"/>
  <c r="E69" i="13" s="1"/>
  <c r="E22" i="13"/>
  <c r="C38" i="22"/>
  <c r="C56" i="22"/>
  <c r="C48" i="22"/>
  <c r="C113" i="22"/>
  <c r="C273" i="17"/>
  <c r="E271" i="17"/>
  <c r="F271" i="17" s="1"/>
  <c r="D324" i="17"/>
  <c r="D113" i="17"/>
  <c r="E92" i="17"/>
  <c r="F92" i="17" s="1"/>
  <c r="D264" i="18"/>
  <c r="D48" i="22"/>
  <c r="D38" i="22"/>
  <c r="D56" i="22"/>
  <c r="D113" i="22"/>
  <c r="F139" i="17"/>
  <c r="E139" i="17"/>
  <c r="E304" i="17"/>
  <c r="F304" i="17" s="1"/>
  <c r="E196" i="17"/>
  <c r="F196" i="17" s="1"/>
  <c r="D273" i="17"/>
  <c r="E273" i="17" s="1"/>
  <c r="F273" i="17" s="1"/>
  <c r="C305" i="17"/>
  <c r="E306" i="18"/>
  <c r="D310" i="18"/>
  <c r="E310" i="18" s="1"/>
  <c r="E112" i="8"/>
  <c r="E111" i="8" s="1"/>
  <c r="E28" i="8"/>
  <c r="E50" i="17"/>
  <c r="F50" i="17" s="1"/>
  <c r="D70" i="17"/>
  <c r="E281" i="17"/>
  <c r="F281" i="17" s="1"/>
  <c r="F35" i="5"/>
  <c r="C43" i="5"/>
  <c r="E43" i="5" s="1"/>
  <c r="C88" i="18"/>
  <c r="E88" i="18" s="1"/>
  <c r="C87" i="18"/>
  <c r="E87" i="18" s="1"/>
  <c r="C86" i="18"/>
  <c r="E86" i="18" s="1"/>
  <c r="C83" i="18"/>
  <c r="C84" i="18"/>
  <c r="E84" i="18" s="1"/>
  <c r="C100" i="18"/>
  <c r="E100" i="18" s="1"/>
  <c r="C258" i="18"/>
  <c r="C101" i="18"/>
  <c r="E101" i="18" s="1"/>
  <c r="C96" i="18"/>
  <c r="C102" i="18" s="1"/>
  <c r="C99" i="18"/>
  <c r="C89" i="18"/>
  <c r="C85" i="18"/>
  <c r="E85" i="18" s="1"/>
  <c r="C98" i="18"/>
  <c r="E98" i="18" s="1"/>
  <c r="C95" i="18"/>
  <c r="E95" i="18" s="1"/>
  <c r="C97" i="18"/>
  <c r="E44" i="18"/>
  <c r="D28" i="8"/>
  <c r="D112" i="8"/>
  <c r="D111" i="8" s="1"/>
  <c r="D50" i="5"/>
  <c r="E89" i="18"/>
  <c r="E97" i="18"/>
  <c r="E223" i="18"/>
  <c r="D247" i="18"/>
  <c r="E247" i="18" s="1"/>
  <c r="F173" i="17"/>
  <c r="C174" i="17"/>
  <c r="E173" i="17"/>
  <c r="C175" i="17"/>
  <c r="D291" i="17"/>
  <c r="D289" i="17"/>
  <c r="E289" i="17" s="1"/>
  <c r="F289" i="17" s="1"/>
  <c r="E287" i="17"/>
  <c r="F287" i="17" s="1"/>
  <c r="E254" i="17"/>
  <c r="F254" i="17" s="1"/>
  <c r="D254" i="18"/>
  <c r="E254" i="18" s="1"/>
  <c r="E252" i="18"/>
  <c r="C209" i="17"/>
  <c r="E208" i="17"/>
  <c r="F208" i="17" s="1"/>
  <c r="C210" i="17"/>
  <c r="F195" i="17"/>
  <c r="E99" i="18"/>
  <c r="F140" i="17"/>
  <c r="C141" i="17"/>
  <c r="E140" i="17"/>
  <c r="E113" i="17"/>
  <c r="F113" i="17" s="1"/>
  <c r="D102" i="18"/>
  <c r="D90" i="18"/>
  <c r="C263" i="18"/>
  <c r="E263" i="18" s="1"/>
  <c r="E259" i="18"/>
  <c r="D47" i="22"/>
  <c r="D37" i="22"/>
  <c r="D112" i="22"/>
  <c r="D55" i="22"/>
  <c r="E235" i="18"/>
  <c r="E122" i="18" l="1"/>
  <c r="D128" i="18"/>
  <c r="C99" i="8"/>
  <c r="C101" i="8" s="1"/>
  <c r="C98" i="8" s="1"/>
  <c r="C22" i="8"/>
  <c r="C63" i="17"/>
  <c r="E62" i="17"/>
  <c r="F62" i="17" s="1"/>
  <c r="D325" i="17"/>
  <c r="E324" i="17"/>
  <c r="F324" i="17" s="1"/>
  <c r="C42" i="12"/>
  <c r="E34" i="12"/>
  <c r="F34" i="12" s="1"/>
  <c r="D116" i="18"/>
  <c r="E110" i="18"/>
  <c r="D99" i="8"/>
  <c r="D101" i="8" s="1"/>
  <c r="D98" i="8" s="1"/>
  <c r="D22" i="8"/>
  <c r="D305" i="17"/>
  <c r="E291" i="17"/>
  <c r="F291" i="17" s="1"/>
  <c r="F43" i="5"/>
  <c r="C50" i="5"/>
  <c r="E209" i="17"/>
  <c r="F209" i="17" s="1"/>
  <c r="C176" i="17"/>
  <c r="E175" i="17"/>
  <c r="F175" i="17" s="1"/>
  <c r="C264" i="18"/>
  <c r="C266" i="18" s="1"/>
  <c r="C267" i="18" s="1"/>
  <c r="E99" i="8"/>
  <c r="E101" i="8" s="1"/>
  <c r="E98" i="8" s="1"/>
  <c r="E22" i="8"/>
  <c r="E174" i="17"/>
  <c r="F174" i="17" s="1"/>
  <c r="E83" i="18"/>
  <c r="E210" i="17"/>
  <c r="F210" i="17" s="1"/>
  <c r="E96" i="18"/>
  <c r="C103" i="18"/>
  <c r="C309" i="17"/>
  <c r="E102" i="18"/>
  <c r="D103" i="18"/>
  <c r="D91" i="18"/>
  <c r="D266" i="18"/>
  <c r="E141" i="17"/>
  <c r="F141" i="17" s="1"/>
  <c r="C322" i="17"/>
  <c r="C148" i="17"/>
  <c r="C90" i="18"/>
  <c r="C91" i="18" s="1"/>
  <c r="C105" i="18" s="1"/>
  <c r="E258" i="18"/>
  <c r="D129" i="18" l="1"/>
  <c r="E129" i="18" s="1"/>
  <c r="E128" i="18"/>
  <c r="E116" i="18"/>
  <c r="D117" i="18"/>
  <c r="E63" i="17"/>
  <c r="C70" i="17"/>
  <c r="E70" i="17" s="1"/>
  <c r="F70" i="17" s="1"/>
  <c r="F63" i="17"/>
  <c r="E103" i="18"/>
  <c r="C49" i="12"/>
  <c r="E42" i="12"/>
  <c r="F42" i="12" s="1"/>
  <c r="C269" i="18"/>
  <c r="C268" i="18"/>
  <c r="E50" i="5"/>
  <c r="F50" i="5" s="1"/>
  <c r="D105" i="18"/>
  <c r="E105" i="18" s="1"/>
  <c r="E91" i="18"/>
  <c r="E322" i="17"/>
  <c r="F322" i="17" s="1"/>
  <c r="C310" i="17"/>
  <c r="E90" i="18"/>
  <c r="F176" i="17"/>
  <c r="C323" i="17"/>
  <c r="C183" i="17"/>
  <c r="E176" i="17"/>
  <c r="C211" i="17"/>
  <c r="E266" i="18"/>
  <c r="D267" i="18"/>
  <c r="E148" i="17"/>
  <c r="F148" i="17" s="1"/>
  <c r="D309" i="17"/>
  <c r="E305" i="17"/>
  <c r="F305" i="17" s="1"/>
  <c r="E264" i="18"/>
  <c r="E117" i="18" l="1"/>
  <c r="D131" i="18"/>
  <c r="E131" i="18" s="1"/>
  <c r="E49" i="12"/>
  <c r="F49" i="12" s="1"/>
  <c r="E309" i="17"/>
  <c r="F309" i="17" s="1"/>
  <c r="D310" i="17"/>
  <c r="F323" i="17"/>
  <c r="E323" i="17"/>
  <c r="F183" i="17"/>
  <c r="E183" i="17"/>
  <c r="C312" i="17"/>
  <c r="D269" i="18"/>
  <c r="E269" i="18" s="1"/>
  <c r="E267" i="18"/>
  <c r="D268" i="18"/>
  <c r="C271" i="18"/>
  <c r="E211" i="17"/>
  <c r="F211" i="17" s="1"/>
  <c r="C325" i="17"/>
  <c r="C313" i="17" l="1"/>
  <c r="E268" i="18"/>
  <c r="D271" i="18"/>
  <c r="E271" i="18" s="1"/>
  <c r="D312" i="17"/>
  <c r="E310" i="17"/>
  <c r="F310" i="17" s="1"/>
  <c r="E325" i="17"/>
  <c r="F325" i="17" s="1"/>
  <c r="E312" i="17" l="1"/>
  <c r="F312" i="17" s="1"/>
  <c r="D313" i="17"/>
  <c r="C251" i="17"/>
  <c r="C315" i="17"/>
  <c r="C256" i="17"/>
  <c r="C314" i="17"/>
  <c r="C318" i="17" l="1"/>
  <c r="C257" i="17"/>
  <c r="E313" i="17"/>
  <c r="F313" i="17" s="1"/>
  <c r="D251" i="17"/>
  <c r="E251" i="17" s="1"/>
  <c r="F251" i="17" s="1"/>
  <c r="D315" i="17"/>
  <c r="E315" i="17" s="1"/>
  <c r="F315" i="17" s="1"/>
  <c r="D314" i="17"/>
  <c r="D256" i="17"/>
  <c r="D257" i="17" l="1"/>
  <c r="E257" i="17" s="1"/>
  <c r="F257" i="17" s="1"/>
  <c r="E256" i="17"/>
  <c r="F256" i="17" s="1"/>
  <c r="D318" i="17"/>
  <c r="E318" i="17" s="1"/>
  <c r="F318" i="17" s="1"/>
  <c r="E314" i="17"/>
  <c r="F314" i="17" s="1"/>
</calcChain>
</file>

<file path=xl/sharedStrings.xml><?xml version="1.0" encoding="utf-8"?>
<sst xmlns="http://schemas.openxmlformats.org/spreadsheetml/2006/main" count="2333" uniqueCount="1009">
  <si>
    <t>MANCHESTER MEMORIAL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</si>
  <si>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</si>
  <si>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</si>
  <si>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</si>
  <si>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</si>
  <si>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</si>
  <si>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</si>
  <si>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</si>
  <si>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</si>
  <si>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</si>
  <si>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</si>
  <si>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</si>
  <si>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</si>
  <si>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</si>
  <si>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</si>
  <si>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</si>
  <si>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</si>
  <si>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</si>
  <si>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</si>
  <si>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</si>
  <si>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</si>
  <si>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</si>
  <si>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</si>
  <si>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</si>
  <si>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</si>
  <si>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</si>
  <si>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</si>
  <si>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</si>
  <si>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</si>
  <si>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</si>
  <si>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</si>
  <si>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</si>
  <si>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</si>
  <si>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</si>
  <si>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</si>
  <si>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</si>
  <si>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</si>
  <si>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</si>
  <si>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</si>
  <si>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</si>
  <si>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</si>
  <si>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</si>
  <si>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</si>
  <si>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</si>
  <si>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</si>
  <si>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</si>
  <si>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</si>
  <si>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</si>
  <si>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</si>
  <si>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</si>
  <si>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</si>
  <si>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</si>
  <si>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</si>
  <si>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</si>
  <si>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</si>
  <si>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</si>
  <si>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</si>
  <si>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</si>
  <si>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</si>
  <si>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</si>
  <si>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</si>
  <si>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</si>
  <si>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</si>
  <si>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</si>
  <si>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</si>
  <si>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</si>
  <si>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</si>
  <si>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</si>
  <si>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</si>
  <si>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</si>
  <si>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</si>
  <si>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</si>
  <si>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</si>
  <si>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</si>
  <si>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</si>
  <si>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</si>
  <si>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</si>
  <si>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</si>
  <si>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</si>
  <si>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</si>
  <si>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</si>
  <si>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</si>
  <si>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</si>
  <si>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</si>
  <si>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</si>
  <si>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</si>
  <si>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</si>
  <si>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</si>
  <si>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</si>
  <si>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</si>
  <si>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</si>
  <si>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</si>
  <si>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</si>
  <si>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</si>
  <si>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</si>
  <si>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</si>
  <si>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</si>
  <si>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</si>
  <si>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</si>
  <si>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</si>
  <si>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</si>
  <si>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</si>
  <si>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</si>
  <si>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</si>
  <si>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</si>
  <si>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</si>
  <si>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</si>
  <si>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</si>
  <si>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</si>
  <si>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</si>
  <si>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</si>
  <si>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</si>
  <si>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</si>
  <si>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</si>
  <si>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</si>
  <si>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</si>
  <si>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</si>
  <si>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</si>
  <si>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</si>
  <si>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</si>
  <si>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</si>
  <si>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</si>
  <si>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</si>
  <si>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</si>
  <si>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</si>
  <si>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</si>
  <si>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</si>
  <si>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</si>
  <si>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</si>
  <si>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</si>
  <si>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</si>
  <si>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</si>
  <si>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</si>
  <si>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</si>
  <si>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</si>
  <si>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</si>
  <si>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</si>
  <si>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</si>
  <si>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</si>
  <si>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</si>
  <si>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</si>
  <si>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</si>
  <si>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</si>
  <si>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</si>
  <si>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</si>
  <si>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</si>
  <si>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</si>
  <si>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</si>
  <si>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</si>
  <si>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</si>
  <si>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</si>
  <si>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</si>
  <si>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</si>
  <si>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</si>
  <si>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</si>
  <si>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</si>
  <si>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</si>
  <si>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</si>
  <si>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</si>
  <si>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</si>
  <si>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</si>
  <si>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</si>
  <si>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</si>
  <si>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</si>
  <si>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</si>
  <si>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</si>
  <si>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</si>
  <si>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</si>
  <si>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</si>
  <si>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</si>
  <si>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</si>
  <si>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</si>
  <si>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</si>
  <si>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</si>
  <si>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</si>
  <si>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</si>
  <si>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</si>
  <si>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</si>
  <si>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</si>
  <si>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</si>
  <si>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</si>
  <si>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</si>
  <si>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</si>
  <si>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</si>
  <si>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</si>
  <si>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</si>
  <si>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</si>
  <si>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</si>
  <si>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</si>
  <si>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</si>
  <si>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</si>
  <si>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</si>
  <si>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</si>
  <si>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</si>
  <si>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</si>
  <si>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</si>
  <si>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</si>
  <si>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</si>
  <si>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</si>
  <si>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</si>
  <si>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</si>
  <si>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</si>
  <si>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</si>
  <si>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</si>
  <si>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</si>
  <si>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</si>
  <si>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</si>
  <si>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</si>
  <si>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</si>
  <si>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</si>
  <si>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</si>
  <si>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</si>
  <si>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</si>
  <si>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</si>
  <si>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</si>
  <si>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</si>
  <si>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</si>
  <si>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</si>
  <si>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</si>
  <si>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</si>
  <si>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</si>
  <si>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</si>
  <si>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</si>
  <si>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</si>
  <si>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</si>
  <si>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</si>
  <si>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</si>
  <si>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</si>
  <si>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</si>
  <si>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</si>
  <si>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</si>
  <si>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</si>
  <si>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</si>
  <si>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</si>
  <si>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</si>
  <si>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</si>
  <si>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</si>
  <si>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</si>
  <si>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</si>
  <si>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</si>
  <si>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</si>
  <si>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</si>
  <si>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</si>
  <si>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</si>
  <si>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</si>
  <si>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</si>
  <si>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</si>
  <si>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</si>
  <si>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</si>
  <si>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</si>
  <si>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</si>
  <si>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</si>
  <si>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</si>
  <si>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</si>
  <si>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</si>
  <si>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</si>
  <si>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</si>
  <si>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</si>
  <si>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</si>
  <si>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</si>
  <si>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</si>
  <si>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</si>
  <si>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</si>
  <si>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</si>
  <si>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</si>
  <si>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</si>
  <si>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</si>
  <si>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</si>
  <si>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</si>
  <si>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</si>
  <si>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</si>
  <si>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</si>
  <si>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</si>
  <si>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</si>
  <si>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</si>
  <si>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</si>
  <si>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</si>
  <si>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</si>
  <si>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</si>
  <si>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</si>
  <si>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</si>
  <si>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</si>
  <si>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</si>
  <si>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</si>
  <si>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</si>
  <si>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</si>
  <si>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</si>
  <si>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</si>
  <si>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</si>
  <si>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</si>
  <si>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</si>
  <si>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</si>
  <si>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</si>
  <si>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</si>
  <si>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</si>
  <si>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</si>
  <si>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</si>
  <si>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</si>
  <si>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</si>
  <si>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</si>
  <si>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</si>
  <si>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</si>
  <si>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</si>
  <si>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</si>
  <si>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</si>
  <si>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</si>
  <si>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</si>
  <si>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</si>
  <si>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</si>
  <si>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</si>
  <si>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</si>
  <si>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</si>
  <si>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</si>
  <si>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</si>
  <si>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</si>
  <si>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</si>
  <si>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</si>
  <si>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</si>
  <si>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</si>
  <si>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</si>
  <si>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</si>
  <si>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</si>
  <si>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</si>
  <si>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</si>
  <si>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</si>
  <si>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</si>
  <si>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</si>
  <si>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</si>
  <si>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</si>
  <si>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</si>
  <si>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</si>
  <si>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</si>
  <si>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</si>
  <si>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</si>
  <si>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</si>
  <si>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</si>
  <si>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</si>
  <si>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</si>
  <si>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</si>
  <si>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</si>
  <si>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</si>
  <si>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</si>
  <si>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</si>
  <si>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</si>
  <si>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</si>
  <si>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</si>
  <si>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</si>
  <si>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</si>
  <si>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</si>
  <si>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</si>
  <si>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</si>
  <si>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</si>
  <si>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</si>
  <si>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</si>
  <si>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</si>
  <si>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</si>
  <si>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</si>
  <si>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</si>
  <si>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</si>
  <si>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</si>
  <si>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</si>
  <si>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</si>
  <si>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</si>
  <si>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</si>
  <si>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</si>
  <si>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</si>
  <si>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</si>
  <si>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</si>
  <si>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</si>
  <si>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</si>
  <si>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</si>
  <si>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</si>
  <si>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</si>
  <si>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</si>
  <si>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</si>
  <si>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</si>
  <si>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</si>
  <si>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</si>
  <si>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</si>
  <si>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</si>
  <si>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</si>
  <si>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</si>
  <si>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</si>
  <si>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</si>
  <si>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</si>
  <si>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</si>
  <si>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</si>
  <si>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</si>
  <si>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</si>
  <si>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</si>
  <si>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</si>
  <si>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</si>
  <si>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</si>
  <si>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</si>
  <si>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</si>
  <si>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</si>
  <si>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</si>
  <si>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</si>
  <si>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</si>
  <si>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</si>
  <si>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</si>
  <si>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</si>
  <si>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</si>
  <si>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</si>
  <si>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</si>
  <si>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</si>
  <si>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</si>
  <si>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</si>
  <si>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</si>
  <si>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</si>
  <si>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</si>
  <si>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</si>
  <si>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</si>
  <si>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</si>
  <si>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</si>
  <si>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</si>
  <si>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</si>
  <si>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</si>
  <si>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</si>
  <si>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</si>
  <si>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</si>
  <si>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</si>
  <si>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</si>
  <si>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</si>
  <si>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</si>
  <si>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</si>
  <si>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</si>
  <si>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</si>
  <si>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</si>
  <si>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</si>
  <si>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</si>
  <si>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</si>
  <si>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</si>
  <si>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</si>
  <si>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</si>
  <si>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</si>
  <si>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</si>
  <si>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</si>
  <si>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</si>
  <si>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</si>
  <si>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</si>
  <si>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</si>
  <si>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</si>
  <si>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</si>
  <si>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</si>
  <si>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</si>
  <si>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</si>
  <si>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</si>
  <si>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</si>
  <si>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</si>
  <si>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</si>
  <si>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</si>
  <si>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</si>
  <si>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</si>
  <si>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</si>
  <si>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</si>
  <si>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</si>
  <si>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</si>
  <si>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</si>
  <si>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</si>
  <si>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</si>
  <si>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</si>
  <si>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</si>
  <si>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</si>
  <si>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</si>
  <si>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</si>
  <si>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</si>
  <si>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</si>
  <si>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</si>
  <si>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</si>
  <si>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</si>
  <si>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</si>
  <si>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</si>
  <si>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</si>
  <si>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</si>
  <si>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</si>
  <si>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</si>
  <si>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</si>
  <si>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</si>
  <si>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</si>
  <si>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</si>
  <si>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</si>
  <si>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</si>
  <si>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</si>
  <si>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</si>
  <si>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</si>
  <si>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</si>
  <si>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</si>
  <si>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</si>
  <si>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</si>
  <si>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</si>
  <si>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</si>
  <si>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</si>
  <si>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</si>
  <si>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</si>
  <si>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</si>
  <si>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</si>
  <si>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</si>
  <si>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</si>
  <si>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</si>
  <si>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EASTERN CONNECTICUT HEALTH NETWORK,INC.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</si>
  <si>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</si>
  <si>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</si>
  <si>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</si>
  <si>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</si>
  <si>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</si>
  <si>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</si>
  <si>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</si>
  <si>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</si>
  <si>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</si>
  <si>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</si>
  <si>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</si>
  <si>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</si>
  <si>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</si>
  <si>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</si>
  <si>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</si>
  <si>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</si>
  <si>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</si>
  <si>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</si>
  <si>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</si>
  <si>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</si>
  <si>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</si>
  <si>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</si>
  <si>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</si>
  <si>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</si>
  <si>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</si>
  <si>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</si>
  <si>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</si>
  <si>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</si>
  <si>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</si>
  <si>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</si>
  <si>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</si>
  <si>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</si>
  <si>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</si>
  <si>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</si>
  <si>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</si>
  <si>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</si>
  <si>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</si>
  <si>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</si>
  <si>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</si>
  <si>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</si>
  <si>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</si>
  <si>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</si>
  <si>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</si>
  <si>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</si>
  <si>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</si>
  <si>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</si>
  <si>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</si>
  <si>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</si>
  <si>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</si>
  <si>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</si>
  <si>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</si>
  <si>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</si>
  <si>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</si>
  <si>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</si>
  <si>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</si>
  <si>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</si>
  <si>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</si>
  <si>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</si>
  <si>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</si>
  <si>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</si>
  <si>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</si>
  <si>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</si>
  <si>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</si>
  <si>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</si>
  <si>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</si>
  <si>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</si>
  <si>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</si>
  <si>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</si>
  <si>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</si>
  <si>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</si>
  <si>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</si>
  <si>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</si>
  <si>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</si>
  <si>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</si>
  <si>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</si>
  <si>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</si>
  <si>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</si>
  <si>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</si>
  <si>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</si>
  <si>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</si>
  <si>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</si>
  <si>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</si>
  <si>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</si>
  <si>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</si>
  <si>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</si>
  <si>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</si>
  <si>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</si>
  <si>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</si>
  <si>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</si>
  <si>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</si>
  <si>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</si>
  <si>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</si>
  <si>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</si>
  <si>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</si>
  <si>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</si>
  <si>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</si>
  <si>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</si>
  <si>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</si>
  <si>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</si>
  <si>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</si>
  <si>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</si>
  <si>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</si>
  <si>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</si>
  <si>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</si>
  <si>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</si>
  <si>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</si>
  <si>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</si>
  <si>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</si>
  <si>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</si>
  <si>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</si>
  <si>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</si>
  <si>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</si>
  <si>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</si>
  <si>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</si>
  <si>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</si>
  <si>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</si>
  <si>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</si>
  <si>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</si>
  <si>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</si>
  <si>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</si>
  <si>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 Operating Room</t>
  </si>
  <si>
    <t>Total Outpatient Surgical Procedures(A)</t>
  </si>
  <si>
    <t>Total Outpatient Endoscopy Procedures(B)</t>
  </si>
  <si>
    <t>Outpatient Hospital Emergency Room Visits</t>
  </si>
  <si>
    <t>Hospital Emergency Room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</si>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</sst>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activeCell="B37" sqref="B37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5266042</v>
      </c>
      <c r="D13" s="22">
        <v>1270245</v>
      </c>
      <c r="E13" s="22">
        <f t="shared" ref="E13:E22" si="0">D13-C13</f>
        <v>-3995797</v>
      </c>
      <c r="F13" s="23">
        <f t="shared" ref="F13:F22" si="1">IF(C13=0,0,E13/C13)</f>
        <v>-0.75878563065011639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25143982</v>
      </c>
      <c r="D15" s="22">
        <v>17615410</v>
      </c>
      <c r="E15" s="22">
        <f t="shared" si="0"/>
        <v>-7528572</v>
      </c>
      <c r="F15" s="23">
        <f t="shared" si="1"/>
        <v>-0.29941844533614442</v>
      </c>
    </row>
    <row r="16" spans="1:8" ht="24" customHeight="1" x14ac:dyDescent="0.2">
      <c r="A16" s="20">
        <v>4</v>
      </c>
      <c r="B16" s="21" t="s">
        <v>19</v>
      </c>
      <c r="C16" s="22">
        <v>646423</v>
      </c>
      <c r="D16" s="22">
        <v>0</v>
      </c>
      <c r="E16" s="22">
        <f t="shared" si="0"/>
        <v>-646423</v>
      </c>
      <c r="F16" s="23">
        <f t="shared" si="1"/>
        <v>-1</v>
      </c>
    </row>
    <row r="17" spans="1:11" ht="24" customHeight="1" x14ac:dyDescent="0.2">
      <c r="A17" s="20">
        <v>5</v>
      </c>
      <c r="B17" s="21" t="s">
        <v>20</v>
      </c>
      <c r="C17" s="22">
        <v>393192</v>
      </c>
      <c r="D17" s="22">
        <v>0</v>
      </c>
      <c r="E17" s="22">
        <f t="shared" si="0"/>
        <v>-393192</v>
      </c>
      <c r="F17" s="23">
        <f t="shared" si="1"/>
        <v>-1</v>
      </c>
    </row>
    <row r="18" spans="1:11" ht="24" customHeight="1" x14ac:dyDescent="0.2">
      <c r="A18" s="20">
        <v>6</v>
      </c>
      <c r="B18" s="21" t="s">
        <v>21</v>
      </c>
      <c r="C18" s="22">
        <v>2821878</v>
      </c>
      <c r="D18" s="22">
        <v>1655706</v>
      </c>
      <c r="E18" s="22">
        <f t="shared" si="0"/>
        <v>-1166172</v>
      </c>
      <c r="F18" s="23">
        <f t="shared" si="1"/>
        <v>-0.41326095600164148</v>
      </c>
    </row>
    <row r="19" spans="1:11" ht="24" customHeight="1" x14ac:dyDescent="0.2">
      <c r="A19" s="20">
        <v>7</v>
      </c>
      <c r="B19" s="21" t="s">
        <v>22</v>
      </c>
      <c r="C19" s="22">
        <v>4086699</v>
      </c>
      <c r="D19" s="22">
        <v>4155414</v>
      </c>
      <c r="E19" s="22">
        <f t="shared" si="0"/>
        <v>68715</v>
      </c>
      <c r="F19" s="23">
        <f t="shared" si="1"/>
        <v>1.6814304160888777E-2</v>
      </c>
    </row>
    <row r="20" spans="1:11" ht="24" customHeight="1" x14ac:dyDescent="0.2">
      <c r="A20" s="20">
        <v>8</v>
      </c>
      <c r="B20" s="21" t="s">
        <v>23</v>
      </c>
      <c r="C20" s="22">
        <v>1678056</v>
      </c>
      <c r="D20" s="22">
        <v>1302449</v>
      </c>
      <c r="E20" s="22">
        <f t="shared" si="0"/>
        <v>-375607</v>
      </c>
      <c r="F20" s="23">
        <f t="shared" si="1"/>
        <v>-0.22383460385112297</v>
      </c>
    </row>
    <row r="21" spans="1:11" ht="24" customHeight="1" x14ac:dyDescent="0.2">
      <c r="A21" s="20">
        <v>9</v>
      </c>
      <c r="B21" s="21" t="s">
        <v>24</v>
      </c>
      <c r="C21" s="22">
        <v>0</v>
      </c>
      <c r="D21" s="22">
        <v>0</v>
      </c>
      <c r="E21" s="22">
        <f t="shared" si="0"/>
        <v>0</v>
      </c>
      <c r="F21" s="23">
        <f t="shared" si="1"/>
        <v>0</v>
      </c>
    </row>
    <row r="22" spans="1:11" ht="24" customHeight="1" x14ac:dyDescent="0.25">
      <c r="A22" s="24"/>
      <c r="B22" s="25" t="s">
        <v>25</v>
      </c>
      <c r="C22" s="26">
        <f>SUM(C13:C21)</f>
        <v>40036272</v>
      </c>
      <c r="D22" s="26">
        <f>SUM(D13:D21)</f>
        <v>25999224</v>
      </c>
      <c r="E22" s="26">
        <f t="shared" si="0"/>
        <v>-14037048</v>
      </c>
      <c r="F22" s="27">
        <f t="shared" si="1"/>
        <v>-0.35060826842219478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12300151</v>
      </c>
      <c r="D25" s="22">
        <v>9138025</v>
      </c>
      <c r="E25" s="22">
        <f>D25-C25</f>
        <v>-3162126</v>
      </c>
      <c r="F25" s="23">
        <f>IF(C25=0,0,E25/C25)</f>
        <v>-0.25708025860820732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11071609</v>
      </c>
      <c r="D28" s="22">
        <v>3129380</v>
      </c>
      <c r="E28" s="22">
        <f>D28-C28</f>
        <v>-7942229</v>
      </c>
      <c r="F28" s="23">
        <f>IF(C28=0,0,E28/C28)</f>
        <v>-0.71735092884873375</v>
      </c>
    </row>
    <row r="29" spans="1:11" ht="24" customHeight="1" x14ac:dyDescent="0.25">
      <c r="A29" s="24"/>
      <c r="B29" s="25" t="s">
        <v>32</v>
      </c>
      <c r="C29" s="26">
        <f>SUM(C25:C28)</f>
        <v>23371760</v>
      </c>
      <c r="D29" s="26">
        <f>SUM(D25:D28)</f>
        <v>12267405</v>
      </c>
      <c r="E29" s="26">
        <f>D29-C29</f>
        <v>-11104355</v>
      </c>
      <c r="F29" s="27">
        <f>IF(C29=0,0,E29/C29)</f>
        <v>-0.47511847631500581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8751305</v>
      </c>
      <c r="D31" s="22">
        <v>1288702</v>
      </c>
      <c r="E31" s="22">
        <f>D31-C31</f>
        <v>-7462603</v>
      </c>
      <c r="F31" s="23">
        <f>IF(C31=0,0,E31/C31)</f>
        <v>-0.8527417339471085</v>
      </c>
    </row>
    <row r="32" spans="1:11" ht="24" customHeight="1" x14ac:dyDescent="0.2">
      <c r="A32" s="20">
        <v>6</v>
      </c>
      <c r="B32" s="21" t="s">
        <v>34</v>
      </c>
      <c r="C32" s="22">
        <v>5520613</v>
      </c>
      <c r="D32" s="22">
        <v>3907359</v>
      </c>
      <c r="E32" s="22">
        <f>D32-C32</f>
        <v>-1613254</v>
      </c>
      <c r="F32" s="23">
        <f>IF(C32=0,0,E32/C32)</f>
        <v>-0.29222370776578616</v>
      </c>
    </row>
    <row r="33" spans="1:8" ht="24" customHeight="1" x14ac:dyDescent="0.2">
      <c r="A33" s="20">
        <v>7</v>
      </c>
      <c r="B33" s="21" t="s">
        <v>35</v>
      </c>
      <c r="C33" s="22">
        <v>25049405</v>
      </c>
      <c r="D33" s="22">
        <v>22375244</v>
      </c>
      <c r="E33" s="22">
        <f>D33-C33</f>
        <v>-2674161</v>
      </c>
      <c r="F33" s="23">
        <f>IF(C33=0,0,E33/C33)</f>
        <v>-0.1067554698405012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201000000</v>
      </c>
      <c r="D36" s="22">
        <v>205032669</v>
      </c>
      <c r="E36" s="22">
        <f>D36-C36</f>
        <v>4032669</v>
      </c>
      <c r="F36" s="23">
        <f>IF(C36=0,0,E36/C36)</f>
        <v>2.0063029850746268E-2</v>
      </c>
    </row>
    <row r="37" spans="1:8" ht="24" customHeight="1" x14ac:dyDescent="0.2">
      <c r="A37" s="20">
        <v>2</v>
      </c>
      <c r="B37" s="21" t="s">
        <v>39</v>
      </c>
      <c r="C37" s="22">
        <v>148400155</v>
      </c>
      <c r="D37" s="22">
        <v>154099076</v>
      </c>
      <c r="E37" s="22">
        <f>D37-C37</f>
        <v>5698921</v>
      </c>
      <c r="F37" s="23">
        <f>IF(C37=0,0,E37/C37)</f>
        <v>3.8402392504239637E-2</v>
      </c>
    </row>
    <row r="38" spans="1:8" ht="24" customHeight="1" x14ac:dyDescent="0.25">
      <c r="A38" s="24"/>
      <c r="B38" s="25" t="s">
        <v>40</v>
      </c>
      <c r="C38" s="26">
        <f>C36-C37</f>
        <v>52599845</v>
      </c>
      <c r="D38" s="26">
        <f>D36-D37</f>
        <v>50933593</v>
      </c>
      <c r="E38" s="26">
        <f>D38-C38</f>
        <v>-1666252</v>
      </c>
      <c r="F38" s="27">
        <f>IF(C38=0,0,E38/C38)</f>
        <v>-3.1677888024194745E-2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973285</v>
      </c>
      <c r="D40" s="22">
        <v>198207</v>
      </c>
      <c r="E40" s="22">
        <f>D40-C40</f>
        <v>-775078</v>
      </c>
      <c r="F40" s="23">
        <f>IF(C40=0,0,E40/C40)</f>
        <v>-0.7963525586030813</v>
      </c>
    </row>
    <row r="41" spans="1:8" ht="24" customHeight="1" x14ac:dyDescent="0.25">
      <c r="A41" s="24"/>
      <c r="B41" s="25" t="s">
        <v>42</v>
      </c>
      <c r="C41" s="26">
        <f>+C38+C40</f>
        <v>53573130</v>
      </c>
      <c r="D41" s="26">
        <f>+D38+D40</f>
        <v>51131800</v>
      </c>
      <c r="E41" s="26">
        <f>D41-C41</f>
        <v>-2441330</v>
      </c>
      <c r="F41" s="27">
        <f>IF(C41=0,0,E41/C41)</f>
        <v>-4.5570046028671464E-2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156302485</v>
      </c>
      <c r="D43" s="26">
        <f>D22+D29+D31+D32+D33+D41</f>
        <v>116969734</v>
      </c>
      <c r="E43" s="26">
        <f>D43-C43</f>
        <v>-39332751</v>
      </c>
      <c r="F43" s="27">
        <f>IF(C43=0,0,E43/C43)</f>
        <v>-0.25164507781178269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18303326</v>
      </c>
      <c r="D49" s="22">
        <v>16507276</v>
      </c>
      <c r="E49" s="22">
        <f t="shared" ref="E49:E56" si="2">D49-C49</f>
        <v>-1796050</v>
      </c>
      <c r="F49" s="23">
        <f t="shared" ref="F49:F56" si="3">IF(C49=0,0,E49/C49)</f>
        <v>-9.8126974299643677E-2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3347027</v>
      </c>
      <c r="D50" s="22">
        <v>3193255</v>
      </c>
      <c r="E50" s="22">
        <f t="shared" si="2"/>
        <v>-153772</v>
      </c>
      <c r="F50" s="23">
        <f t="shared" si="3"/>
        <v>-4.5942862128091587E-2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1603251</v>
      </c>
      <c r="D51" s="22">
        <v>3033355</v>
      </c>
      <c r="E51" s="22">
        <f t="shared" si="2"/>
        <v>1430104</v>
      </c>
      <c r="F51" s="23">
        <f t="shared" si="3"/>
        <v>0.89200256229373942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1347947</v>
      </c>
      <c r="D53" s="22">
        <v>0</v>
      </c>
      <c r="E53" s="22">
        <f t="shared" si="2"/>
        <v>-1347947</v>
      </c>
      <c r="F53" s="23">
        <f t="shared" si="3"/>
        <v>-1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7244596</v>
      </c>
      <c r="D54" s="22">
        <v>2583699</v>
      </c>
      <c r="E54" s="22">
        <f t="shared" si="2"/>
        <v>-4660897</v>
      </c>
      <c r="F54" s="23">
        <f t="shared" si="3"/>
        <v>-0.64336189347204453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1925908</v>
      </c>
      <c r="D55" s="22">
        <v>21217401</v>
      </c>
      <c r="E55" s="22">
        <f t="shared" si="2"/>
        <v>19291493</v>
      </c>
      <c r="F55" s="23">
        <f t="shared" si="3"/>
        <v>10.016829983571386</v>
      </c>
    </row>
    <row r="56" spans="1:6" ht="24" customHeight="1" x14ac:dyDescent="0.25">
      <c r="A56" s="24"/>
      <c r="B56" s="25" t="s">
        <v>54</v>
      </c>
      <c r="C56" s="26">
        <f>SUM(C49:C55)</f>
        <v>33772055</v>
      </c>
      <c r="D56" s="26">
        <f>SUM(D49:D55)</f>
        <v>46534986</v>
      </c>
      <c r="E56" s="26">
        <f t="shared" si="2"/>
        <v>12762931</v>
      </c>
      <c r="F56" s="27">
        <f t="shared" si="3"/>
        <v>0.37791395874488537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38119850</v>
      </c>
      <c r="D59" s="22">
        <v>0</v>
      </c>
      <c r="E59" s="22">
        <f>D59-C59</f>
        <v>-38119850</v>
      </c>
      <c r="F59" s="23">
        <f>IF(C59=0,0,E59/C59)</f>
        <v>-1</v>
      </c>
    </row>
    <row r="60" spans="1:6" ht="24" customHeight="1" x14ac:dyDescent="0.2">
      <c r="A60" s="20">
        <v>2</v>
      </c>
      <c r="B60" s="21" t="s">
        <v>57</v>
      </c>
      <c r="C60" s="22">
        <v>11375025</v>
      </c>
      <c r="D60" s="22">
        <v>6129334</v>
      </c>
      <c r="E60" s="22">
        <f>D60-C60</f>
        <v>-5245691</v>
      </c>
      <c r="F60" s="23">
        <f>IF(C60=0,0,E60/C60)</f>
        <v>-0.46115863481618724</v>
      </c>
    </row>
    <row r="61" spans="1:6" ht="24" customHeight="1" x14ac:dyDescent="0.25">
      <c r="A61" s="24"/>
      <c r="B61" s="25" t="s">
        <v>58</v>
      </c>
      <c r="C61" s="26">
        <f>SUM(C59:C60)</f>
        <v>49494875</v>
      </c>
      <c r="D61" s="26">
        <f>SUM(D59:D60)</f>
        <v>6129334</v>
      </c>
      <c r="E61" s="26">
        <f>D61-C61</f>
        <v>-43365541</v>
      </c>
      <c r="F61" s="27">
        <f>IF(C61=0,0,E61/C61)</f>
        <v>-0.87616224912175256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48438669</v>
      </c>
      <c r="D63" s="22">
        <v>52063611</v>
      </c>
      <c r="E63" s="22">
        <f>D63-C63</f>
        <v>3624942</v>
      </c>
      <c r="F63" s="23">
        <f>IF(C63=0,0,E63/C63)</f>
        <v>7.483570615864775E-2</v>
      </c>
    </row>
    <row r="64" spans="1:6" ht="24" customHeight="1" x14ac:dyDescent="0.2">
      <c r="A64" s="20">
        <v>4</v>
      </c>
      <c r="B64" s="21" t="s">
        <v>60</v>
      </c>
      <c r="C64" s="22">
        <v>9591427</v>
      </c>
      <c r="D64" s="22">
        <v>16737813</v>
      </c>
      <c r="E64" s="22">
        <f>D64-C64</f>
        <v>7146386</v>
      </c>
      <c r="F64" s="23">
        <f>IF(C64=0,0,E64/C64)</f>
        <v>0.74508058081451278</v>
      </c>
    </row>
    <row r="65" spans="1:6" ht="24" customHeight="1" x14ac:dyDescent="0.25">
      <c r="A65" s="24"/>
      <c r="B65" s="25" t="s">
        <v>61</v>
      </c>
      <c r="C65" s="26">
        <f>SUM(C61:C64)</f>
        <v>107524971</v>
      </c>
      <c r="D65" s="26">
        <f>SUM(D61:D64)</f>
        <v>74930758</v>
      </c>
      <c r="E65" s="26">
        <f>D65-C65</f>
        <v>-32594213</v>
      </c>
      <c r="F65" s="27">
        <f>IF(C65=0,0,E65/C65)</f>
        <v>-0.30313156745701425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2829380</v>
      </c>
      <c r="D70" s="22">
        <v>-16517740</v>
      </c>
      <c r="E70" s="22">
        <f>D70-C70</f>
        <v>-19347120</v>
      </c>
      <c r="F70" s="23">
        <f>IF(C70=0,0,E70/C70)</f>
        <v>-6.837936226311065</v>
      </c>
    </row>
    <row r="71" spans="1:6" ht="24" customHeight="1" x14ac:dyDescent="0.2">
      <c r="A71" s="20">
        <v>2</v>
      </c>
      <c r="B71" s="21" t="s">
        <v>65</v>
      </c>
      <c r="C71" s="22">
        <v>494603</v>
      </c>
      <c r="D71" s="22">
        <v>3678</v>
      </c>
      <c r="E71" s="22">
        <f>D71-C71</f>
        <v>-490925</v>
      </c>
      <c r="F71" s="23">
        <f>IF(C71=0,0,E71/C71)</f>
        <v>-0.99256373293328182</v>
      </c>
    </row>
    <row r="72" spans="1:6" ht="24" customHeight="1" x14ac:dyDescent="0.2">
      <c r="A72" s="20">
        <v>3</v>
      </c>
      <c r="B72" s="21" t="s">
        <v>66</v>
      </c>
      <c r="C72" s="22">
        <v>11681476</v>
      </c>
      <c r="D72" s="22">
        <v>12018052</v>
      </c>
      <c r="E72" s="22">
        <f>D72-C72</f>
        <v>336576</v>
      </c>
      <c r="F72" s="23">
        <f>IF(C72=0,0,E72/C72)</f>
        <v>2.8812797286918195E-2</v>
      </c>
    </row>
    <row r="73" spans="1:6" ht="24" customHeight="1" x14ac:dyDescent="0.25">
      <c r="A73" s="20"/>
      <c r="B73" s="25" t="s">
        <v>67</v>
      </c>
      <c r="C73" s="26">
        <f>SUM(C70:C72)</f>
        <v>15005459</v>
      </c>
      <c r="D73" s="26">
        <f>SUM(D70:D72)</f>
        <v>-4496010</v>
      </c>
      <c r="E73" s="26">
        <f>D73-C73</f>
        <v>-19501469</v>
      </c>
      <c r="F73" s="27">
        <f>IF(C73=0,0,E73/C73)</f>
        <v>-1.2996249564908344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156302485</v>
      </c>
      <c r="D75" s="26">
        <f>D56+D65+D67+D73</f>
        <v>116969734</v>
      </c>
      <c r="E75" s="26">
        <f>D75-C75</f>
        <v>-39332751</v>
      </c>
      <c r="F75" s="27">
        <f>IF(C75=0,0,E75/C75)</f>
        <v>-0.25164507781178269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B37" sqref="B37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299755216</v>
      </c>
      <c r="D11" s="76">
        <v>297145105</v>
      </c>
      <c r="E11" s="76">
        <v>283677310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29000109</v>
      </c>
      <c r="D12" s="185">
        <v>18422521</v>
      </c>
      <c r="E12" s="185">
        <v>14019988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328755325</v>
      </c>
      <c r="D13" s="76">
        <f>+D11+D12</f>
        <v>315567626</v>
      </c>
      <c r="E13" s="76">
        <f>+E11+E12</f>
        <v>297697298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326582604</v>
      </c>
      <c r="D14" s="185">
        <v>315848076</v>
      </c>
      <c r="E14" s="185">
        <v>331558484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2172721</v>
      </c>
      <c r="D15" s="76">
        <f>+D13-D14</f>
        <v>-280450</v>
      </c>
      <c r="E15" s="76">
        <f>+E13-E14</f>
        <v>-33861186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-2125751</v>
      </c>
      <c r="D16" s="185">
        <v>-2235410</v>
      </c>
      <c r="E16" s="185">
        <v>-5136276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46970</v>
      </c>
      <c r="D17" s="76">
        <f>D15+D16</f>
        <v>-2515860</v>
      </c>
      <c r="E17" s="76">
        <f>E15+E16</f>
        <v>-38997462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6.6519420559266323E-3</v>
      </c>
      <c r="D20" s="189">
        <f>IF(+D27=0,0,+D24/+D27)</f>
        <v>-8.9505638322233676E-4</v>
      </c>
      <c r="E20" s="189">
        <f>IF(+E27=0,0,+E24/+E27)</f>
        <v>-0.11574059240195025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-6.5081400130656874E-3</v>
      </c>
      <c r="D21" s="189">
        <f>IF(+D27=0,0,+D26/+D27)</f>
        <v>-7.1343126746979636E-3</v>
      </c>
      <c r="E21" s="189">
        <f>IF(+E27=0,0,+E26/+E27)</f>
        <v>-1.7556255323718413E-2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1.4380204286094437E-4</v>
      </c>
      <c r="D22" s="189">
        <f>IF(+D27=0,0,+D28/+D27)</f>
        <v>-8.0293690579203002E-3</v>
      </c>
      <c r="E22" s="189">
        <f>IF(+E27=0,0,+E28/+E27)</f>
        <v>-0.13329684772566866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2172721</v>
      </c>
      <c r="D24" s="76">
        <f>+D15</f>
        <v>-280450</v>
      </c>
      <c r="E24" s="76">
        <f>+E15</f>
        <v>-33861186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328755325</v>
      </c>
      <c r="D25" s="76">
        <f>+D13</f>
        <v>315567626</v>
      </c>
      <c r="E25" s="76">
        <f>+E13</f>
        <v>297697298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-2125751</v>
      </c>
      <c r="D26" s="76">
        <f>+D16</f>
        <v>-2235410</v>
      </c>
      <c r="E26" s="76">
        <f>+E16</f>
        <v>-5136276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326629574</v>
      </c>
      <c r="D27" s="76">
        <f>SUM(D25:D26)</f>
        <v>313332216</v>
      </c>
      <c r="E27" s="76">
        <f>SUM(E25:E26)</f>
        <v>292561022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46970</v>
      </c>
      <c r="D28" s="76">
        <f>+D17</f>
        <v>-2515860</v>
      </c>
      <c r="E28" s="76">
        <f>+E17</f>
        <v>-38997462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59544873</v>
      </c>
      <c r="D31" s="76">
        <v>42167565</v>
      </c>
      <c r="E31" s="76">
        <v>-353131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77693789</v>
      </c>
      <c r="D32" s="76">
        <v>58707549</v>
      </c>
      <c r="E32" s="76">
        <v>16843358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-8155360</v>
      </c>
      <c r="D33" s="76">
        <f>+D32-C32</f>
        <v>-18986240</v>
      </c>
      <c r="E33" s="76">
        <f>+E32-D32</f>
        <v>-41864191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0.90500000000000003</v>
      </c>
      <c r="D34" s="193">
        <f>IF(C32=0,0,+D33/C32)</f>
        <v>-0.24437268724273442</v>
      </c>
      <c r="E34" s="193">
        <f>IF(D32=0,0,+E33/D32)</f>
        <v>-0.71309723729055696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1.3327302292232019</v>
      </c>
      <c r="D38" s="338">
        <f>IF(+D40=0,0,+D39/+D40)</f>
        <v>1.4463231559046146</v>
      </c>
      <c r="E38" s="338">
        <f>IF(+E40=0,0,+E39/+E40)</f>
        <v>0.73807391865072736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81233895</v>
      </c>
      <c r="D39" s="341">
        <v>74771961</v>
      </c>
      <c r="E39" s="341">
        <v>48378633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60952992</v>
      </c>
      <c r="D40" s="341">
        <v>51697963</v>
      </c>
      <c r="E40" s="341">
        <v>65547138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24.071590136151443</v>
      </c>
      <c r="D42" s="343">
        <f>IF((D48/365)=0,0,+D45/(D48/365))</f>
        <v>19.559583787515329</v>
      </c>
      <c r="E42" s="343">
        <f>IF((E48/365)=0,0,+E45/(E48/365))</f>
        <v>6.2611578505067742</v>
      </c>
    </row>
    <row r="43" spans="1:14" ht="24" customHeight="1" x14ac:dyDescent="0.2">
      <c r="A43" s="339">
        <v>5</v>
      </c>
      <c r="B43" s="344" t="s">
        <v>16</v>
      </c>
      <c r="C43" s="345">
        <v>20733601</v>
      </c>
      <c r="D43" s="345">
        <v>16286829</v>
      </c>
      <c r="E43" s="345">
        <v>5362866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20733601</v>
      </c>
      <c r="D45" s="341">
        <f>+D43+D44</f>
        <v>16286829</v>
      </c>
      <c r="E45" s="341">
        <f>+E43+E44</f>
        <v>5362866</v>
      </c>
    </row>
    <row r="46" spans="1:14" ht="24" customHeight="1" x14ac:dyDescent="0.2">
      <c r="A46" s="339">
        <v>8</v>
      </c>
      <c r="B46" s="340" t="s">
        <v>334</v>
      </c>
      <c r="C46" s="341">
        <f>+C14</f>
        <v>326582604</v>
      </c>
      <c r="D46" s="341">
        <f>+D14</f>
        <v>315848076</v>
      </c>
      <c r="E46" s="341">
        <f>+E14</f>
        <v>331558484</v>
      </c>
    </row>
    <row r="47" spans="1:14" ht="24" customHeight="1" x14ac:dyDescent="0.2">
      <c r="A47" s="339">
        <v>9</v>
      </c>
      <c r="B47" s="340" t="s">
        <v>356</v>
      </c>
      <c r="C47" s="341">
        <v>12196877</v>
      </c>
      <c r="D47" s="341">
        <v>11920720</v>
      </c>
      <c r="E47" s="341">
        <v>18925240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314385727</v>
      </c>
      <c r="D48" s="341">
        <f>+D46-D47</f>
        <v>303927356</v>
      </c>
      <c r="E48" s="341">
        <f>+E46-E47</f>
        <v>312633244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51.713660272053446</v>
      </c>
      <c r="D50" s="350">
        <f>IF((D55/365)=0,0,+D54/(D55/365))</f>
        <v>51.659534993854265</v>
      </c>
      <c r="E50" s="350">
        <f>IF((E55/365)=0,0,+E54/(E55/365))</f>
        <v>33.866695859460876</v>
      </c>
    </row>
    <row r="51" spans="1:5" ht="24" customHeight="1" x14ac:dyDescent="0.2">
      <c r="A51" s="339">
        <v>12</v>
      </c>
      <c r="B51" s="344" t="s">
        <v>359</v>
      </c>
      <c r="C51" s="351">
        <v>44610272</v>
      </c>
      <c r="D51" s="351">
        <v>41607499</v>
      </c>
      <c r="E51" s="351">
        <v>31004506</v>
      </c>
    </row>
    <row r="52" spans="1:5" ht="24" customHeight="1" x14ac:dyDescent="0.2">
      <c r="A52" s="339">
        <v>13</v>
      </c>
      <c r="B52" s="344" t="s">
        <v>21</v>
      </c>
      <c r="C52" s="341">
        <v>3602585</v>
      </c>
      <c r="D52" s="341">
        <v>3573134</v>
      </c>
      <c r="E52" s="341">
        <v>2964558</v>
      </c>
    </row>
    <row r="53" spans="1:5" ht="24" customHeight="1" x14ac:dyDescent="0.2">
      <c r="A53" s="339">
        <v>14</v>
      </c>
      <c r="B53" s="344" t="s">
        <v>49</v>
      </c>
      <c r="C53" s="341">
        <v>5743160</v>
      </c>
      <c r="D53" s="341">
        <v>3124803</v>
      </c>
      <c r="E53" s="341">
        <v>7647932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42469697</v>
      </c>
      <c r="D54" s="352">
        <f>+D51+D52-D53</f>
        <v>42055830</v>
      </c>
      <c r="E54" s="352">
        <f>+E51+E52-E53</f>
        <v>26321132</v>
      </c>
    </row>
    <row r="55" spans="1:5" ht="24" customHeight="1" x14ac:dyDescent="0.2">
      <c r="A55" s="339">
        <v>16</v>
      </c>
      <c r="B55" s="340" t="s">
        <v>75</v>
      </c>
      <c r="C55" s="341">
        <f>+C11</f>
        <v>299755216</v>
      </c>
      <c r="D55" s="341">
        <f>+D11</f>
        <v>297145105</v>
      </c>
      <c r="E55" s="341">
        <f>+E11</f>
        <v>283677310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70.766069097023603</v>
      </c>
      <c r="D57" s="355">
        <f>IF((D61/365)=0,0,+D58/(D61/365))</f>
        <v>62.086403617448639</v>
      </c>
      <c r="E57" s="355">
        <f>IF((E61/365)=0,0,+E58/(E61/365))</f>
        <v>76.5264277845001</v>
      </c>
    </row>
    <row r="58" spans="1:5" ht="24" customHeight="1" x14ac:dyDescent="0.2">
      <c r="A58" s="339">
        <v>18</v>
      </c>
      <c r="B58" s="340" t="s">
        <v>54</v>
      </c>
      <c r="C58" s="353">
        <f>+C40</f>
        <v>60952992</v>
      </c>
      <c r="D58" s="353">
        <f>+D40</f>
        <v>51697963</v>
      </c>
      <c r="E58" s="353">
        <f>+E40</f>
        <v>65547138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326582604</v>
      </c>
      <c r="D59" s="353">
        <f t="shared" si="0"/>
        <v>315848076</v>
      </c>
      <c r="E59" s="353">
        <f t="shared" si="0"/>
        <v>331558484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12196877</v>
      </c>
      <c r="D60" s="356">
        <f t="shared" si="0"/>
        <v>11920720</v>
      </c>
      <c r="E60" s="356">
        <f t="shared" si="0"/>
        <v>18925240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314385727</v>
      </c>
      <c r="D61" s="353">
        <f>+D59-D60</f>
        <v>303927356</v>
      </c>
      <c r="E61" s="353">
        <f>+E59-E60</f>
        <v>312633244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28.141033736990963</v>
      </c>
      <c r="D65" s="357">
        <f>IF(D67=0,0,(D66/D67)*100)</f>
        <v>22.527869905578729</v>
      </c>
      <c r="E65" s="357">
        <f>IF(E67=0,0,(E66/E67)*100)</f>
        <v>9.5780264192895608</v>
      </c>
    </row>
    <row r="66" spans="1:5" ht="24" customHeight="1" x14ac:dyDescent="0.2">
      <c r="A66" s="339">
        <v>2</v>
      </c>
      <c r="B66" s="340" t="s">
        <v>67</v>
      </c>
      <c r="C66" s="353">
        <f>+C32</f>
        <v>77693789</v>
      </c>
      <c r="D66" s="353">
        <f>+D32</f>
        <v>58707549</v>
      </c>
      <c r="E66" s="353">
        <f>+E32</f>
        <v>16843358</v>
      </c>
    </row>
    <row r="67" spans="1:5" ht="24" customHeight="1" x14ac:dyDescent="0.2">
      <c r="A67" s="339">
        <v>3</v>
      </c>
      <c r="B67" s="340" t="s">
        <v>43</v>
      </c>
      <c r="C67" s="353">
        <v>276087189</v>
      </c>
      <c r="D67" s="353">
        <v>260599645</v>
      </c>
      <c r="E67" s="353">
        <v>175854161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8.5294203824179</v>
      </c>
      <c r="D69" s="357">
        <f>IF(D75=0,0,(D72/D75)*100)</f>
        <v>7.1346116588238768</v>
      </c>
      <c r="E69" s="357">
        <f>IF(E75=0,0,(E72/E75)*100)</f>
        <v>-26.073416405273992</v>
      </c>
    </row>
    <row r="70" spans="1:5" ht="24" customHeight="1" x14ac:dyDescent="0.2">
      <c r="A70" s="339">
        <v>5</v>
      </c>
      <c r="B70" s="340" t="s">
        <v>366</v>
      </c>
      <c r="C70" s="353">
        <f>+C28</f>
        <v>46970</v>
      </c>
      <c r="D70" s="353">
        <f>+D28</f>
        <v>-2515860</v>
      </c>
      <c r="E70" s="353">
        <f>+E28</f>
        <v>-38997462</v>
      </c>
    </row>
    <row r="71" spans="1:5" ht="24" customHeight="1" x14ac:dyDescent="0.2">
      <c r="A71" s="339">
        <v>6</v>
      </c>
      <c r="B71" s="340" t="s">
        <v>356</v>
      </c>
      <c r="C71" s="356">
        <f>+C47</f>
        <v>12196877</v>
      </c>
      <c r="D71" s="356">
        <f>+D47</f>
        <v>11920720</v>
      </c>
      <c r="E71" s="356">
        <f>+E47</f>
        <v>18925240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12243847</v>
      </c>
      <c r="D72" s="353">
        <f>+D70+D71</f>
        <v>9404860</v>
      </c>
      <c r="E72" s="353">
        <f>+E70+E71</f>
        <v>-20072222</v>
      </c>
    </row>
    <row r="73" spans="1:5" ht="24" customHeight="1" x14ac:dyDescent="0.2">
      <c r="A73" s="339">
        <v>8</v>
      </c>
      <c r="B73" s="340" t="s">
        <v>54</v>
      </c>
      <c r="C73" s="341">
        <f>+C40</f>
        <v>60952992</v>
      </c>
      <c r="D73" s="341">
        <f>+D40</f>
        <v>51697963</v>
      </c>
      <c r="E73" s="341">
        <f>+E40</f>
        <v>65547138</v>
      </c>
    </row>
    <row r="74" spans="1:5" ht="24" customHeight="1" x14ac:dyDescent="0.2">
      <c r="A74" s="339">
        <v>9</v>
      </c>
      <c r="B74" s="340" t="s">
        <v>58</v>
      </c>
      <c r="C74" s="353">
        <v>82595414</v>
      </c>
      <c r="D74" s="353">
        <v>80122246</v>
      </c>
      <c r="E74" s="353">
        <v>11436337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143548406</v>
      </c>
      <c r="D75" s="341">
        <f>+D73+D74</f>
        <v>131820209</v>
      </c>
      <c r="E75" s="341">
        <f>+E73+E74</f>
        <v>76983475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51.528994126946905</v>
      </c>
      <c r="D77" s="359">
        <f>IF(D80=0,0,(D78/D80)*100)</f>
        <v>57.712572434469124</v>
      </c>
      <c r="E77" s="359">
        <f>IF(E80=0,0,(E78/E80)*100)</f>
        <v>40.440100220317085</v>
      </c>
    </row>
    <row r="78" spans="1:5" ht="24" customHeight="1" x14ac:dyDescent="0.2">
      <c r="A78" s="339">
        <v>12</v>
      </c>
      <c r="B78" s="340" t="s">
        <v>58</v>
      </c>
      <c r="C78" s="341">
        <f>+C74</f>
        <v>82595414</v>
      </c>
      <c r="D78" s="341">
        <f>+D74</f>
        <v>80122246</v>
      </c>
      <c r="E78" s="341">
        <f>+E74</f>
        <v>11436337</v>
      </c>
    </row>
    <row r="79" spans="1:5" ht="24" customHeight="1" x14ac:dyDescent="0.2">
      <c r="A79" s="339">
        <v>13</v>
      </c>
      <c r="B79" s="340" t="s">
        <v>67</v>
      </c>
      <c r="C79" s="341">
        <f>+C32</f>
        <v>77693789</v>
      </c>
      <c r="D79" s="341">
        <f>+D32</f>
        <v>58707549</v>
      </c>
      <c r="E79" s="341">
        <f>+E32</f>
        <v>16843358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160289203</v>
      </c>
      <c r="D80" s="341">
        <f>+D78+D79</f>
        <v>138829795</v>
      </c>
      <c r="E80" s="341">
        <f>+E78+E79</f>
        <v>28279695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78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sqref="A1:F1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19192</v>
      </c>
      <c r="D11" s="376">
        <v>4918</v>
      </c>
      <c r="E11" s="376">
        <v>4993</v>
      </c>
      <c r="F11" s="377">
        <v>75</v>
      </c>
      <c r="G11" s="377">
        <v>158</v>
      </c>
      <c r="H11" s="378">
        <f>IF(F11=0,0,$C11/(F11*365))</f>
        <v>0.70107762557077624</v>
      </c>
      <c r="I11" s="378">
        <f>IF(G11=0,0,$C11/(G11*365))</f>
        <v>0.33279001213802673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5050</v>
      </c>
      <c r="D13" s="376">
        <v>548</v>
      </c>
      <c r="E13" s="376">
        <v>0</v>
      </c>
      <c r="F13" s="377">
        <v>22</v>
      </c>
      <c r="G13" s="377">
        <v>25</v>
      </c>
      <c r="H13" s="378">
        <f>IF(F13=0,0,$C13/(F13*365))</f>
        <v>0.62889165628891652</v>
      </c>
      <c r="I13" s="378">
        <f>IF(G13=0,0,$C13/(G13*365))</f>
        <v>0.55342465753424652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1761</v>
      </c>
      <c r="D15" s="376">
        <v>224</v>
      </c>
      <c r="E15" s="376">
        <v>230</v>
      </c>
      <c r="F15" s="377">
        <v>5</v>
      </c>
      <c r="G15" s="377">
        <v>10</v>
      </c>
      <c r="H15" s="378">
        <f t="shared" ref="H15:I17" si="0">IF(F15=0,0,$C15/(F15*365))</f>
        <v>0.96493150684931506</v>
      </c>
      <c r="I15" s="378">
        <f t="shared" si="0"/>
        <v>0.48246575342465753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9412</v>
      </c>
      <c r="D16" s="376">
        <v>1180</v>
      </c>
      <c r="E16" s="376">
        <v>230</v>
      </c>
      <c r="F16" s="377">
        <v>26</v>
      </c>
      <c r="G16" s="377">
        <v>26</v>
      </c>
      <c r="H16" s="378">
        <f t="shared" si="0"/>
        <v>0.99178082191780825</v>
      </c>
      <c r="I16" s="378">
        <f t="shared" si="0"/>
        <v>0.99178082191780825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11173</v>
      </c>
      <c r="D17" s="381">
        <f>SUM(D15:D16)</f>
        <v>1404</v>
      </c>
      <c r="E17" s="381">
        <f>SUM(E15:E16)</f>
        <v>460</v>
      </c>
      <c r="F17" s="381">
        <f>SUM(F15:F16)</f>
        <v>31</v>
      </c>
      <c r="G17" s="381">
        <f>SUM(G15:G16)</f>
        <v>36</v>
      </c>
      <c r="H17" s="382">
        <f t="shared" si="0"/>
        <v>0.98745028722934158</v>
      </c>
      <c r="I17" s="382">
        <f t="shared" si="0"/>
        <v>0.85030441400304413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1177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4523</v>
      </c>
      <c r="D21" s="376">
        <v>1522</v>
      </c>
      <c r="E21" s="376">
        <v>1521</v>
      </c>
      <c r="F21" s="377">
        <v>20</v>
      </c>
      <c r="G21" s="377">
        <v>30</v>
      </c>
      <c r="H21" s="378">
        <f>IF(F21=0,0,$C21/(F21*365))</f>
        <v>0.61958904109589041</v>
      </c>
      <c r="I21" s="378">
        <f>IF(G21=0,0,$C21/(G21*365))</f>
        <v>0.41305936073059363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4838</v>
      </c>
      <c r="D23" s="376">
        <v>1521</v>
      </c>
      <c r="E23" s="376">
        <v>1524</v>
      </c>
      <c r="F23" s="377">
        <v>26</v>
      </c>
      <c r="G23" s="377">
        <v>34</v>
      </c>
      <c r="H23" s="378">
        <f>IF(F23=0,0,$C23/(F23*365))</f>
        <v>0.50979978925184399</v>
      </c>
      <c r="I23" s="378">
        <f>IF(G23=0,0,$C23/(G23*365))</f>
        <v>0.38984689766317487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39938</v>
      </c>
      <c r="D31" s="384">
        <f>SUM(D10:D29)-D13-D17-D23</f>
        <v>7844</v>
      </c>
      <c r="E31" s="384">
        <f>SUM(E10:E29)-E17-E23</f>
        <v>8151</v>
      </c>
      <c r="F31" s="384">
        <f>SUM(F10:F29)-F17-F23</f>
        <v>148</v>
      </c>
      <c r="G31" s="384">
        <f>SUM(G10:G29)-G17-G23</f>
        <v>249</v>
      </c>
      <c r="H31" s="385">
        <f>IF(F31=0,0,$C31/(F31*365))</f>
        <v>0.73931877082562014</v>
      </c>
      <c r="I31" s="385">
        <f>IF(G31=0,0,$C31/(G31*365))</f>
        <v>0.43943445012928428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44776</v>
      </c>
      <c r="D33" s="384">
        <f>SUM(D10:D29)-D13-D17</f>
        <v>9365</v>
      </c>
      <c r="E33" s="384">
        <f>SUM(E10:E29)-E17</f>
        <v>9675</v>
      </c>
      <c r="F33" s="384">
        <f>SUM(F10:F29)-F17</f>
        <v>174</v>
      </c>
      <c r="G33" s="384">
        <f>SUM(G10:G29)-G17</f>
        <v>283</v>
      </c>
      <c r="H33" s="385">
        <f>IF(F33=0,0,$C33/(F33*365))</f>
        <v>0.70502283105022834</v>
      </c>
      <c r="I33" s="385">
        <f>IF(G33=0,0,$C33/(G33*365))</f>
        <v>0.43347693499201317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44776</v>
      </c>
      <c r="D36" s="384">
        <f t="shared" si="1"/>
        <v>9365</v>
      </c>
      <c r="E36" s="384">
        <f t="shared" si="1"/>
        <v>9675</v>
      </c>
      <c r="F36" s="384">
        <f t="shared" si="1"/>
        <v>174</v>
      </c>
      <c r="G36" s="384">
        <f t="shared" si="1"/>
        <v>283</v>
      </c>
      <c r="H36" s="387">
        <f t="shared" si="1"/>
        <v>0.70502283105022834</v>
      </c>
      <c r="I36" s="387">
        <f t="shared" si="1"/>
        <v>0.43347693499201317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40692</v>
      </c>
      <c r="D37" s="384">
        <v>8806</v>
      </c>
      <c r="E37" s="384">
        <v>8803</v>
      </c>
      <c r="F37" s="386">
        <v>181</v>
      </c>
      <c r="G37" s="386">
        <v>283</v>
      </c>
      <c r="H37" s="385">
        <f>IF(F37=0,0,$C37/(F37*365))</f>
        <v>0.6159388481041399</v>
      </c>
      <c r="I37" s="385">
        <f>IF(G37=0,0,$C37/(G37*365))</f>
        <v>0.39393968730335449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4084</v>
      </c>
      <c r="D38" s="384">
        <f t="shared" si="2"/>
        <v>559</v>
      </c>
      <c r="E38" s="384">
        <f t="shared" si="2"/>
        <v>872</v>
      </c>
      <c r="F38" s="384">
        <f t="shared" si="2"/>
        <v>-7</v>
      </c>
      <c r="G38" s="384">
        <f t="shared" si="2"/>
        <v>0</v>
      </c>
      <c r="H38" s="387">
        <f t="shared" si="2"/>
        <v>8.9083982946088436E-2</v>
      </c>
      <c r="I38" s="387">
        <f t="shared" si="2"/>
        <v>3.9537247688658683E-2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0.10036370785412366</v>
      </c>
      <c r="D40" s="389">
        <f t="shared" si="3"/>
        <v>6.3479445832387002E-2</v>
      </c>
      <c r="E40" s="389">
        <f t="shared" si="3"/>
        <v>9.9057139611496078E-2</v>
      </c>
      <c r="F40" s="389">
        <f t="shared" si="3"/>
        <v>-3.8674033149171269E-2</v>
      </c>
      <c r="G40" s="389">
        <f t="shared" si="3"/>
        <v>0</v>
      </c>
      <c r="H40" s="389">
        <f t="shared" si="3"/>
        <v>0.14463121334250792</v>
      </c>
      <c r="I40" s="389">
        <f t="shared" si="3"/>
        <v>0.10036370785412363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283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gridLines="1"/>
  <pageMargins left="0.25" right="0.25" top="0.75" bottom="0.75" header="0.3" footer="0.3"/>
  <pageSetup scale="68" fitToWidth="0" orientation="landscape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37" sqref="B37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3677</v>
      </c>
      <c r="D12" s="409">
        <v>4068</v>
      </c>
      <c r="E12" s="409">
        <f>+D12-C12</f>
        <v>391</v>
      </c>
      <c r="F12" s="410">
        <f>IF(C12=0,0,+E12/C12)</f>
        <v>0.10633668751699756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9216</v>
      </c>
      <c r="D13" s="409">
        <v>9282</v>
      </c>
      <c r="E13" s="409">
        <f>+D13-C13</f>
        <v>66</v>
      </c>
      <c r="F13" s="410">
        <f>IF(C13=0,0,+E13/C13)</f>
        <v>7.161458333333333E-3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3408</v>
      </c>
      <c r="D14" s="409">
        <v>3433</v>
      </c>
      <c r="E14" s="409">
        <f>+D14-C14</f>
        <v>25</v>
      </c>
      <c r="F14" s="410">
        <f>IF(C14=0,0,+E14/C14)</f>
        <v>7.335680751173709E-3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16301</v>
      </c>
      <c r="D16" s="401">
        <f>SUM(D12:D15)</f>
        <v>16783</v>
      </c>
      <c r="E16" s="401">
        <f>+D16-C16</f>
        <v>482</v>
      </c>
      <c r="F16" s="402">
        <f>IF(C16=0,0,+E16/C16)</f>
        <v>2.9568738114226122E-2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513</v>
      </c>
      <c r="D19" s="409">
        <v>607</v>
      </c>
      <c r="E19" s="409">
        <f>+D19-C19</f>
        <v>94</v>
      </c>
      <c r="F19" s="410">
        <f>IF(C19=0,0,+E19/C19)</f>
        <v>0.18323586744639375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2218</v>
      </c>
      <c r="D20" s="409">
        <v>2124</v>
      </c>
      <c r="E20" s="409">
        <f>+D20-C20</f>
        <v>-94</v>
      </c>
      <c r="F20" s="410">
        <f>IF(C20=0,0,+E20/C20)</f>
        <v>-4.2380522993688011E-2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45</v>
      </c>
      <c r="D21" s="409">
        <v>43</v>
      </c>
      <c r="E21" s="409">
        <f>+D21-C21</f>
        <v>-2</v>
      </c>
      <c r="F21" s="410">
        <f>IF(C21=0,0,+E21/C21)</f>
        <v>-4.4444444444444446E-2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2776</v>
      </c>
      <c r="D23" s="401">
        <f>SUM(D19:D22)</f>
        <v>2774</v>
      </c>
      <c r="E23" s="401">
        <f>+D23-C23</f>
        <v>-2</v>
      </c>
      <c r="F23" s="402">
        <f>IF(C23=0,0,+E23/C23)</f>
        <v>-7.2046109510086451E-4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1</v>
      </c>
      <c r="E33" s="409">
        <f>+D33-C33</f>
        <v>1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331</v>
      </c>
      <c r="D34" s="409">
        <v>337</v>
      </c>
      <c r="E34" s="409">
        <f>+D34-C34</f>
        <v>6</v>
      </c>
      <c r="F34" s="410">
        <f>IF(C34=0,0,+E34/C34)</f>
        <v>1.812688821752266E-2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331</v>
      </c>
      <c r="D37" s="401">
        <f>SUM(D33:D36)</f>
        <v>338</v>
      </c>
      <c r="E37" s="401">
        <f>+D37-C37</f>
        <v>7</v>
      </c>
      <c r="F37" s="402">
        <f>IF(C37=0,0,+E37/C37)</f>
        <v>2.1148036253776436E-2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73</v>
      </c>
      <c r="D58" s="409">
        <v>97</v>
      </c>
      <c r="E58" s="409">
        <f>+D58-C58</f>
        <v>24</v>
      </c>
      <c r="F58" s="410">
        <f>IF(C58=0,0,+E58/C58)</f>
        <v>0.32876712328767121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190</v>
      </c>
      <c r="D59" s="409">
        <v>209</v>
      </c>
      <c r="E59" s="409">
        <f>+D59-C59</f>
        <v>19</v>
      </c>
      <c r="F59" s="410">
        <f>IF(C59=0,0,+E59/C59)</f>
        <v>0.1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263</v>
      </c>
      <c r="D60" s="401">
        <f>SUM(D58:D59)</f>
        <v>306</v>
      </c>
      <c r="E60" s="401">
        <f>SUM(E58:E59)</f>
        <v>43</v>
      </c>
      <c r="F60" s="402">
        <f>IF(C60=0,0,+E60/C60)</f>
        <v>0.1634980988593156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1117</v>
      </c>
      <c r="D63" s="409">
        <v>1222</v>
      </c>
      <c r="E63" s="409">
        <f>+D63-C63</f>
        <v>105</v>
      </c>
      <c r="F63" s="410">
        <f>IF(C63=0,0,+E63/C63)</f>
        <v>9.4001790510295433E-2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5153</v>
      </c>
      <c r="D64" s="409">
        <v>5774</v>
      </c>
      <c r="E64" s="409">
        <f>+D64-C64</f>
        <v>621</v>
      </c>
      <c r="F64" s="410">
        <f>IF(C64=0,0,+E64/C64)</f>
        <v>0.12051232291868814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6270</v>
      </c>
      <c r="D65" s="401">
        <f>SUM(D63:D64)</f>
        <v>6996</v>
      </c>
      <c r="E65" s="401">
        <f>+D65-C65</f>
        <v>726</v>
      </c>
      <c r="F65" s="402">
        <f>IF(C65=0,0,+E65/C65)</f>
        <v>0.11578947368421053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474</v>
      </c>
      <c r="D68" s="409">
        <v>348</v>
      </c>
      <c r="E68" s="409">
        <f>+D68-C68</f>
        <v>-126</v>
      </c>
      <c r="F68" s="410">
        <f>IF(C68=0,0,+E68/C68)</f>
        <v>-0.26582278481012656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3767</v>
      </c>
      <c r="D69" s="409">
        <v>3776</v>
      </c>
      <c r="E69" s="409">
        <f>+D69-C69</f>
        <v>9</v>
      </c>
      <c r="F69" s="412">
        <f>IF(C69=0,0,+E69/C69)</f>
        <v>2.389169100079639E-3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4241</v>
      </c>
      <c r="D70" s="401">
        <f>SUM(D68:D69)</f>
        <v>4124</v>
      </c>
      <c r="E70" s="401">
        <f>+D70-C70</f>
        <v>-117</v>
      </c>
      <c r="F70" s="402">
        <f>IF(C70=0,0,+E70/C70)</f>
        <v>-2.7587833058240981E-2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4907</v>
      </c>
      <c r="D73" s="376">
        <v>5341</v>
      </c>
      <c r="E73" s="409">
        <f>+D73-C73</f>
        <v>434</v>
      </c>
      <c r="F73" s="410">
        <f>IF(C73=0,0,+E73/C73)</f>
        <v>8.8445078459343796E-2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34872</v>
      </c>
      <c r="D74" s="376">
        <v>34171</v>
      </c>
      <c r="E74" s="409">
        <f>+D74-C74</f>
        <v>-701</v>
      </c>
      <c r="F74" s="410">
        <f>IF(C74=0,0,+E74/C74)</f>
        <v>-2.010208763477862E-2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39779</v>
      </c>
      <c r="D75" s="401">
        <f>SUM(D73:D74)</f>
        <v>39512</v>
      </c>
      <c r="E75" s="401">
        <f>SUM(E73:E74)</f>
        <v>-267</v>
      </c>
      <c r="F75" s="402">
        <f>IF(C75=0,0,+E75/C75)</f>
        <v>-6.7120842655672593E-3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70908</v>
      </c>
      <c r="D81" s="376">
        <v>62848</v>
      </c>
      <c r="E81" s="409">
        <f t="shared" si="0"/>
        <v>-8060</v>
      </c>
      <c r="F81" s="410">
        <f t="shared" si="1"/>
        <v>-0.11366841541151915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70908</v>
      </c>
      <c r="D92" s="381">
        <f>SUM(D79:D91)</f>
        <v>62848</v>
      </c>
      <c r="E92" s="401">
        <f t="shared" si="0"/>
        <v>-8060</v>
      </c>
      <c r="F92" s="402">
        <f t="shared" si="1"/>
        <v>-0.11366841541151915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81129</v>
      </c>
      <c r="D95" s="414">
        <v>74624</v>
      </c>
      <c r="E95" s="415">
        <f t="shared" ref="E95:E100" si="2">+D95-C95</f>
        <v>-6505</v>
      </c>
      <c r="F95" s="412">
        <f t="shared" ref="F95:F100" si="3">IF(C95=0,0,+E95/C95)</f>
        <v>-8.0180946394014477E-2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7540</v>
      </c>
      <c r="D96" s="414">
        <v>8943</v>
      </c>
      <c r="E96" s="409">
        <f t="shared" si="2"/>
        <v>1403</v>
      </c>
      <c r="F96" s="410">
        <f t="shared" si="3"/>
        <v>0.18607427055702919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657</v>
      </c>
      <c r="D97" s="414">
        <v>264</v>
      </c>
      <c r="E97" s="409">
        <f t="shared" si="2"/>
        <v>-393</v>
      </c>
      <c r="F97" s="410">
        <f t="shared" si="3"/>
        <v>-0.59817351598173518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5863</v>
      </c>
      <c r="D98" s="414">
        <v>3776</v>
      </c>
      <c r="E98" s="409">
        <f t="shared" si="2"/>
        <v>-2087</v>
      </c>
      <c r="F98" s="410">
        <f t="shared" si="3"/>
        <v>-0.35596111205867303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39902</v>
      </c>
      <c r="D99" s="414">
        <v>41952</v>
      </c>
      <c r="E99" s="409">
        <f t="shared" si="2"/>
        <v>2050</v>
      </c>
      <c r="F99" s="410">
        <f t="shared" si="3"/>
        <v>5.1375870883664979E-2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135091</v>
      </c>
      <c r="D100" s="381">
        <f>SUM(D95:D99)</f>
        <v>129559</v>
      </c>
      <c r="E100" s="401">
        <f t="shared" si="2"/>
        <v>-5532</v>
      </c>
      <c r="F100" s="402">
        <f t="shared" si="3"/>
        <v>-4.0950174326935179E-2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313.7</v>
      </c>
      <c r="D104" s="416">
        <v>308.10000000000002</v>
      </c>
      <c r="E104" s="417">
        <f>+D104-C104</f>
        <v>-5.5999999999999659</v>
      </c>
      <c r="F104" s="410">
        <f>IF(C104=0,0,+E104/C104)</f>
        <v>-1.7851450430347356E-2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51.9</v>
      </c>
      <c r="D105" s="416">
        <v>63.6</v>
      </c>
      <c r="E105" s="417">
        <f>+D105-C105</f>
        <v>11.700000000000003</v>
      </c>
      <c r="F105" s="410">
        <f>IF(C105=0,0,+E105/C105)</f>
        <v>0.22543352601156075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769</v>
      </c>
      <c r="D106" s="416">
        <v>709.8</v>
      </c>
      <c r="E106" s="417">
        <f>+D106-C106</f>
        <v>-59.200000000000045</v>
      </c>
      <c r="F106" s="410">
        <f>IF(C106=0,0,+E106/C106)</f>
        <v>-7.6983094928478601E-2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1134.5999999999999</v>
      </c>
      <c r="D107" s="418">
        <f>SUM(D104:D106)</f>
        <v>1081.5</v>
      </c>
      <c r="E107" s="418">
        <f>+D107-C107</f>
        <v>-53.099999999999909</v>
      </c>
      <c r="F107" s="402">
        <f>IF(C107=0,0,+E107/C107)</f>
        <v>-4.6800634584875649E-2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37" sqref="B37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5153</v>
      </c>
      <c r="D12" s="409">
        <v>5774</v>
      </c>
      <c r="E12" s="409">
        <f>+D12-C12</f>
        <v>621</v>
      </c>
      <c r="F12" s="410">
        <f>IF(C12=0,0,+E12/C12)</f>
        <v>0.12051232291868814</v>
      </c>
    </row>
    <row r="13" spans="1:6" ht="15.75" customHeight="1" x14ac:dyDescent="0.25">
      <c r="A13" s="374"/>
      <c r="B13" s="399" t="s">
        <v>622</v>
      </c>
      <c r="C13" s="401">
        <f>SUM(C11:C12)</f>
        <v>5153</v>
      </c>
      <c r="D13" s="401">
        <f>SUM(D11:D12)</f>
        <v>5774</v>
      </c>
      <c r="E13" s="401">
        <f>+D13-C13</f>
        <v>621</v>
      </c>
      <c r="F13" s="402">
        <f>IF(C13=0,0,+E13/C13)</f>
        <v>0.12051232291868814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3767</v>
      </c>
      <c r="D16" s="409">
        <v>3776</v>
      </c>
      <c r="E16" s="409">
        <f>+D16-C16</f>
        <v>9</v>
      </c>
      <c r="F16" s="410">
        <f>IF(C16=0,0,+E16/C16)</f>
        <v>2.389169100079639E-3</v>
      </c>
    </row>
    <row r="17" spans="1:6" ht="15.75" customHeight="1" x14ac:dyDescent="0.25">
      <c r="A17" s="374"/>
      <c r="B17" s="399" t="s">
        <v>623</v>
      </c>
      <c r="C17" s="401">
        <f>SUM(C15:C16)</f>
        <v>3767</v>
      </c>
      <c r="D17" s="401">
        <f>SUM(D15:D16)</f>
        <v>3776</v>
      </c>
      <c r="E17" s="401">
        <f>+D17-C17</f>
        <v>9</v>
      </c>
      <c r="F17" s="402">
        <f>IF(C17=0,0,+E17/C17)</f>
        <v>2.389169100079639E-3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625</v>
      </c>
      <c r="C20" s="409">
        <v>34872</v>
      </c>
      <c r="D20" s="409">
        <v>34171</v>
      </c>
      <c r="E20" s="409">
        <f>+D20-C20</f>
        <v>-701</v>
      </c>
      <c r="F20" s="410">
        <f>IF(C20=0,0,+E20/C20)</f>
        <v>-2.010208763477862E-2</v>
      </c>
    </row>
    <row r="21" spans="1:6" ht="15.75" customHeight="1" x14ac:dyDescent="0.25">
      <c r="A21" s="374"/>
      <c r="B21" s="399" t="s">
        <v>626</v>
      </c>
      <c r="C21" s="401">
        <f>SUM(C19:C20)</f>
        <v>34872</v>
      </c>
      <c r="D21" s="401">
        <f>SUM(D19:D20)</f>
        <v>34171</v>
      </c>
      <c r="E21" s="401">
        <f>+D21-C21</f>
        <v>-701</v>
      </c>
      <c r="F21" s="402">
        <f>IF(C21=0,0,+E21/C21)</f>
        <v>-2.010208763477862E-2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0" t="s">
        <v>627</v>
      </c>
      <c r="C23" s="811"/>
      <c r="D23" s="811"/>
      <c r="E23" s="811"/>
      <c r="F23" s="812"/>
    </row>
    <row r="24" spans="1:6" ht="15.75" customHeight="1" x14ac:dyDescent="0.25">
      <c r="A24" s="392"/>
    </row>
    <row r="25" spans="1:6" ht="15.75" customHeight="1" x14ac:dyDescent="0.25">
      <c r="B25" s="810" t="s">
        <v>628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629</v>
      </c>
      <c r="C27" s="811"/>
      <c r="D27" s="811"/>
      <c r="E27" s="811"/>
      <c r="F27" s="812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75" bottom="0.75" header="0.3" footer="0.3"/>
  <pageSetup scale="82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7" sqref="B37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117408412</v>
      </c>
      <c r="D15" s="448">
        <v>129574441</v>
      </c>
      <c r="E15" s="448">
        <f t="shared" ref="E15:E24" si="0">D15-C15</f>
        <v>12166029</v>
      </c>
      <c r="F15" s="449">
        <f t="shared" ref="F15:F24" si="1">IF(C15=0,0,E15/C15)</f>
        <v>0.10362144238864247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35626977</v>
      </c>
      <c r="D16" s="448">
        <v>31207602</v>
      </c>
      <c r="E16" s="448">
        <f t="shared" si="0"/>
        <v>-4419375</v>
      </c>
      <c r="F16" s="449">
        <f t="shared" si="1"/>
        <v>-0.12404574769282277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0.30344484175460956</v>
      </c>
      <c r="D17" s="453">
        <f>IF(LN_IA1=0,0,LN_IA2/LN_IA1)</f>
        <v>0.24084689664993422</v>
      </c>
      <c r="E17" s="454">
        <f t="shared" si="0"/>
        <v>-6.259794510467534E-2</v>
      </c>
      <c r="F17" s="449">
        <f t="shared" si="1"/>
        <v>-0.20629101731542099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3353</v>
      </c>
      <c r="D18" s="456">
        <v>3476</v>
      </c>
      <c r="E18" s="456">
        <f t="shared" si="0"/>
        <v>123</v>
      </c>
      <c r="F18" s="449">
        <f t="shared" si="1"/>
        <v>3.6683566954965705E-2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1.48956</v>
      </c>
      <c r="D19" s="459">
        <v>1.5199</v>
      </c>
      <c r="E19" s="460">
        <f t="shared" si="0"/>
        <v>3.0340000000000034E-2</v>
      </c>
      <c r="F19" s="449">
        <f t="shared" si="1"/>
        <v>2.0368430946051206E-2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4994.4946799999998</v>
      </c>
      <c r="D20" s="463">
        <f>LN_IA4*LN_IA5</f>
        <v>5283.1724000000004</v>
      </c>
      <c r="E20" s="463">
        <f t="shared" si="0"/>
        <v>288.67772000000059</v>
      </c>
      <c r="F20" s="449">
        <f t="shared" si="1"/>
        <v>5.779918460139407E-2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7133.2495642982649</v>
      </c>
      <c r="D21" s="465">
        <f>IF(LN_IA6=0,0,LN_IA2/LN_IA6)</f>
        <v>5906.9815703913046</v>
      </c>
      <c r="E21" s="465">
        <f t="shared" si="0"/>
        <v>-1226.2679939069603</v>
      </c>
      <c r="F21" s="449">
        <f t="shared" si="1"/>
        <v>-0.17190874689768335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18652</v>
      </c>
      <c r="D22" s="456">
        <v>20473</v>
      </c>
      <c r="E22" s="456">
        <f t="shared" si="0"/>
        <v>1821</v>
      </c>
      <c r="F22" s="449">
        <f t="shared" si="1"/>
        <v>9.7630280935020367E-2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1910.0888376581599</v>
      </c>
      <c r="D23" s="465">
        <f>IF(LN_IA8=0,0,LN_IA2/LN_IA8)</f>
        <v>1524.3297025350462</v>
      </c>
      <c r="E23" s="465">
        <f t="shared" si="0"/>
        <v>-385.75913512311377</v>
      </c>
      <c r="F23" s="449">
        <f t="shared" si="1"/>
        <v>-0.20195874009507789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5.5627796003578887</v>
      </c>
      <c r="D24" s="466">
        <f>IF(LN_IA4=0,0,LN_IA8/LN_IA4)</f>
        <v>5.8898158803222094</v>
      </c>
      <c r="E24" s="466">
        <f t="shared" si="0"/>
        <v>0.32703627996432072</v>
      </c>
      <c r="F24" s="449">
        <f t="shared" si="1"/>
        <v>5.8790083997446244E-2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139661667</v>
      </c>
      <c r="D27" s="448">
        <v>158127232</v>
      </c>
      <c r="E27" s="448">
        <f t="shared" ref="E27:E32" si="2">D27-C27</f>
        <v>18465565</v>
      </c>
      <c r="F27" s="449">
        <f t="shared" ref="F27:F32" si="3">IF(C27=0,0,E27/C27)</f>
        <v>0.13221641554657942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27599085</v>
      </c>
      <c r="D28" s="448">
        <v>31123573</v>
      </c>
      <c r="E28" s="448">
        <f t="shared" si="2"/>
        <v>3524488</v>
      </c>
      <c r="F28" s="449">
        <f t="shared" si="3"/>
        <v>0.12770307421423571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0.19761388785370865</v>
      </c>
      <c r="D29" s="453">
        <f>IF(LN_IA11=0,0,LN_IA12/LN_IA11)</f>
        <v>0.19682614187542347</v>
      </c>
      <c r="E29" s="454">
        <f t="shared" si="2"/>
        <v>-7.8774597828518145E-4</v>
      </c>
      <c r="F29" s="449">
        <f t="shared" si="3"/>
        <v>-3.9862885490535007E-3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1.1895371432159392</v>
      </c>
      <c r="D30" s="453">
        <f>IF(LN_IA1=0,0,LN_IA11/LN_IA1)</f>
        <v>1.2203582032045965</v>
      </c>
      <c r="E30" s="454">
        <f t="shared" si="2"/>
        <v>3.0821059988657362E-2</v>
      </c>
      <c r="F30" s="449">
        <f t="shared" si="3"/>
        <v>2.5910128291859777E-2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3988.518041203044</v>
      </c>
      <c r="D31" s="463">
        <f>LN_IA14*LN_IA4</f>
        <v>4241.9651143391775</v>
      </c>
      <c r="E31" s="463">
        <f t="shared" si="2"/>
        <v>253.44707313613344</v>
      </c>
      <c r="F31" s="449">
        <f t="shared" si="3"/>
        <v>6.3544171172831648E-2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6919.6339880853029</v>
      </c>
      <c r="D32" s="465">
        <f>IF(LN_IA15=0,0,LN_IA12/LN_IA15)</f>
        <v>7337.0648180939834</v>
      </c>
      <c r="E32" s="465">
        <f t="shared" si="2"/>
        <v>417.43083000868046</v>
      </c>
      <c r="F32" s="449">
        <f t="shared" si="3"/>
        <v>6.0325565012172795E-2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257070079</v>
      </c>
      <c r="D35" s="448">
        <f>LN_IA1+LN_IA11</f>
        <v>287701673</v>
      </c>
      <c r="E35" s="448">
        <f>D35-C35</f>
        <v>30631594</v>
      </c>
      <c r="F35" s="449">
        <f>IF(C35=0,0,E35/C35)</f>
        <v>0.11915658998183137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63226062</v>
      </c>
      <c r="D36" s="448">
        <f>LN_IA2+LN_IA12</f>
        <v>62331175</v>
      </c>
      <c r="E36" s="448">
        <f>D36-C36</f>
        <v>-894887</v>
      </c>
      <c r="F36" s="449">
        <f>IF(C36=0,0,E36/C36)</f>
        <v>-1.4153767792781401E-2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193844017</v>
      </c>
      <c r="D37" s="448">
        <f>LN_IA17-LN_IA18</f>
        <v>225370498</v>
      </c>
      <c r="E37" s="448">
        <f>D37-C37</f>
        <v>31526481</v>
      </c>
      <c r="F37" s="449">
        <f>IF(C37=0,0,E37/C37)</f>
        <v>0.16263840116354997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55023979</v>
      </c>
      <c r="D42" s="448">
        <v>64112332</v>
      </c>
      <c r="E42" s="448">
        <f t="shared" ref="E42:E53" si="4">D42-C42</f>
        <v>9088353</v>
      </c>
      <c r="F42" s="449">
        <f t="shared" ref="F42:F53" si="5">IF(C42=0,0,E42/C42)</f>
        <v>0.16517077036540742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27169517</v>
      </c>
      <c r="D43" s="448">
        <v>28755891</v>
      </c>
      <c r="E43" s="448">
        <f t="shared" si="4"/>
        <v>1586374</v>
      </c>
      <c r="F43" s="449">
        <f t="shared" si="5"/>
        <v>5.8388008885104585E-2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0.49377594084935222</v>
      </c>
      <c r="D44" s="453">
        <f>IF(LN_IB1=0,0,LN_IB2/LN_IB1)</f>
        <v>0.44852355393966953</v>
      </c>
      <c r="E44" s="454">
        <f t="shared" si="4"/>
        <v>-4.5252386909682696E-2</v>
      </c>
      <c r="F44" s="449">
        <f t="shared" si="5"/>
        <v>-9.164558895243724E-2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3108</v>
      </c>
      <c r="D45" s="456">
        <v>3258</v>
      </c>
      <c r="E45" s="456">
        <f t="shared" si="4"/>
        <v>150</v>
      </c>
      <c r="F45" s="449">
        <f t="shared" si="5"/>
        <v>4.8262548262548263E-2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1.02108</v>
      </c>
      <c r="D46" s="459">
        <v>1.0587</v>
      </c>
      <c r="E46" s="460">
        <f t="shared" si="4"/>
        <v>3.7619999999999987E-2</v>
      </c>
      <c r="F46" s="449">
        <f t="shared" si="5"/>
        <v>3.6843342343401093E-2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3173.5166399999998</v>
      </c>
      <c r="D47" s="463">
        <f>LN_IB4*LN_IB5</f>
        <v>3449.2446</v>
      </c>
      <c r="E47" s="463">
        <f t="shared" si="4"/>
        <v>275.72796000000017</v>
      </c>
      <c r="F47" s="449">
        <f t="shared" si="5"/>
        <v>8.6884044193951404E-2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8561.3280414373385</v>
      </c>
      <c r="D48" s="465">
        <f>IF(LN_IB6=0,0,LN_IB2/LN_IB6)</f>
        <v>8336.8662808082681</v>
      </c>
      <c r="E48" s="465">
        <f t="shared" si="4"/>
        <v>-224.46176062907034</v>
      </c>
      <c r="F48" s="449">
        <f t="shared" si="5"/>
        <v>-2.6218100689830132E-2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-1428.0784771390736</v>
      </c>
      <c r="D49" s="465">
        <f>LN_IA7-LN_IB7</f>
        <v>-2429.8847104169636</v>
      </c>
      <c r="E49" s="465">
        <f t="shared" si="4"/>
        <v>-1001.80623327789</v>
      </c>
      <c r="F49" s="449">
        <f t="shared" si="5"/>
        <v>0.7015064293139186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-4532030.8104267092</v>
      </c>
      <c r="D50" s="479">
        <f>LN_IB8*LN_IB6</f>
        <v>-8381266.716028275</v>
      </c>
      <c r="E50" s="479">
        <f t="shared" si="4"/>
        <v>-3849235.9056015657</v>
      </c>
      <c r="F50" s="449">
        <f t="shared" si="5"/>
        <v>0.84934018911472153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10691</v>
      </c>
      <c r="D51" s="456">
        <v>12457</v>
      </c>
      <c r="E51" s="456">
        <f t="shared" si="4"/>
        <v>1766</v>
      </c>
      <c r="F51" s="449">
        <f t="shared" si="5"/>
        <v>0.16518567018987934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2541.3447759797959</v>
      </c>
      <c r="D52" s="465">
        <f>IF(LN_IB10=0,0,LN_IB2/LN_IB10)</f>
        <v>2308.4122180300233</v>
      </c>
      <c r="E52" s="465">
        <f t="shared" si="4"/>
        <v>-232.93255794977267</v>
      </c>
      <c r="F52" s="449">
        <f t="shared" si="5"/>
        <v>-9.1657204544380366E-2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3.4398326898326896</v>
      </c>
      <c r="D53" s="466">
        <f>IF(LN_IB4=0,0,LN_IB10/LN_IB4)</f>
        <v>3.8235113566605281</v>
      </c>
      <c r="E53" s="466">
        <f t="shared" si="4"/>
        <v>0.38367866682783847</v>
      </c>
      <c r="F53" s="449">
        <f t="shared" si="5"/>
        <v>0.11153992110194762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151755473</v>
      </c>
      <c r="D56" s="448">
        <v>170236185</v>
      </c>
      <c r="E56" s="448">
        <f t="shared" ref="E56:E63" si="6">D56-C56</f>
        <v>18480712</v>
      </c>
      <c r="F56" s="449">
        <f t="shared" ref="F56:F63" si="7">IF(C56=0,0,E56/C56)</f>
        <v>0.12177954201361818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61123790</v>
      </c>
      <c r="D57" s="448">
        <v>65121679</v>
      </c>
      <c r="E57" s="448">
        <f t="shared" si="6"/>
        <v>3997889</v>
      </c>
      <c r="F57" s="449">
        <f t="shared" si="7"/>
        <v>6.5406431767401851E-2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0.40277815878179235</v>
      </c>
      <c r="D58" s="453">
        <f>IF(LN_IB13=0,0,LN_IB14/LN_IB13)</f>
        <v>0.38253723202267487</v>
      </c>
      <c r="E58" s="454">
        <f t="shared" si="6"/>
        <v>-2.0240926759117484E-2</v>
      </c>
      <c r="F58" s="449">
        <f t="shared" si="7"/>
        <v>-5.0253287865301394E-2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2.757987985565348</v>
      </c>
      <c r="D59" s="453">
        <f>IF(LN_IB1=0,0,LN_IB13/LN_IB1)</f>
        <v>2.655279876576631</v>
      </c>
      <c r="E59" s="454">
        <f t="shared" si="6"/>
        <v>-0.10270810898871696</v>
      </c>
      <c r="F59" s="449">
        <f t="shared" si="7"/>
        <v>-3.7240230750194246E-2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8571.8266591371012</v>
      </c>
      <c r="D60" s="463">
        <f>LN_IB16*LN_IB4</f>
        <v>8650.901837886664</v>
      </c>
      <c r="E60" s="463">
        <f t="shared" si="6"/>
        <v>79.075178749562838</v>
      </c>
      <c r="F60" s="449">
        <f t="shared" si="7"/>
        <v>9.2250090784643905E-3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7130.7776545907354</v>
      </c>
      <c r="D61" s="465">
        <f>IF(LN_IB17=0,0,LN_IB14/LN_IB17)</f>
        <v>7527.7329717000503</v>
      </c>
      <c r="E61" s="465">
        <f t="shared" si="6"/>
        <v>396.95531710931482</v>
      </c>
      <c r="F61" s="449">
        <f t="shared" si="7"/>
        <v>5.5667885935800882E-2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-211.14366650543252</v>
      </c>
      <c r="D62" s="465">
        <f>LN_IA16-LN_IB18</f>
        <v>-190.66815360606688</v>
      </c>
      <c r="E62" s="465">
        <f t="shared" si="6"/>
        <v>20.47551289936564</v>
      </c>
      <c r="F62" s="449">
        <f t="shared" si="7"/>
        <v>-9.6974317242136288E-2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-1809886.9094592198</v>
      </c>
      <c r="D63" s="448">
        <f>LN_IB19*LN_IB17</f>
        <v>-1649451.4804571806</v>
      </c>
      <c r="E63" s="448">
        <f t="shared" si="6"/>
        <v>160435.42900203913</v>
      </c>
      <c r="F63" s="449">
        <f t="shared" si="7"/>
        <v>-8.8643897120608495E-2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206779452</v>
      </c>
      <c r="D66" s="448">
        <f>LN_IB1+LN_IB13</f>
        <v>234348517</v>
      </c>
      <c r="E66" s="448">
        <f>D66-C66</f>
        <v>27569065</v>
      </c>
      <c r="F66" s="449">
        <f>IF(C66=0,0,E66/C66)</f>
        <v>0.13332594091602487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88293307</v>
      </c>
      <c r="D67" s="448">
        <f>LN_IB2+LN_IB14</f>
        <v>93877570</v>
      </c>
      <c r="E67" s="448">
        <f>D67-C67</f>
        <v>5584263</v>
      </c>
      <c r="F67" s="449">
        <f>IF(C67=0,0,E67/C67)</f>
        <v>6.32467305817416E-2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118486145</v>
      </c>
      <c r="D68" s="448">
        <f>LN_IB21-LN_IB22</f>
        <v>140470947</v>
      </c>
      <c r="E68" s="448">
        <f>D68-C68</f>
        <v>21984802</v>
      </c>
      <c r="F68" s="449">
        <f>IF(C68=0,0,E68/C68)</f>
        <v>0.18554744945073537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-6341917.7198859286</v>
      </c>
      <c r="D70" s="441">
        <f>LN_IB9+LN_IB20</f>
        <v>-10030718.196485456</v>
      </c>
      <c r="E70" s="448">
        <f>D70-C70</f>
        <v>-3688800.4765995275</v>
      </c>
      <c r="F70" s="449">
        <f>IF(C70=0,0,E70/C70)</f>
        <v>0.58165378983596738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206779452</v>
      </c>
      <c r="D73" s="488">
        <v>224184505</v>
      </c>
      <c r="E73" s="488">
        <f>D73-C73</f>
        <v>17405053</v>
      </c>
      <c r="F73" s="489">
        <f>IF(C73=0,0,E73/C73)</f>
        <v>8.4172062705727649E-2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88293307</v>
      </c>
      <c r="D74" s="488">
        <v>95527132</v>
      </c>
      <c r="E74" s="488">
        <f>D74-C74</f>
        <v>7233825</v>
      </c>
      <c r="F74" s="489">
        <f>IF(C74=0,0,E74/C74)</f>
        <v>8.1929483058098621E-2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118486145</v>
      </c>
      <c r="D76" s="441">
        <f>LN_IB32-LN_IB33</f>
        <v>128657373</v>
      </c>
      <c r="E76" s="488">
        <f>D76-C76</f>
        <v>10171228</v>
      </c>
      <c r="F76" s="489">
        <f>IF(E76=0,0,E76/C76)</f>
        <v>8.5843184449962487E-2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0.57300734601037628</v>
      </c>
      <c r="D77" s="453">
        <f>IF(LN_IB32=0,0,LN_IB34/LN_IB32)</f>
        <v>0.57389056839588448</v>
      </c>
      <c r="E77" s="493">
        <f>D77-C77</f>
        <v>8.8322238550819776E-4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1236061</v>
      </c>
      <c r="D83" s="448">
        <v>1860366</v>
      </c>
      <c r="E83" s="448">
        <f t="shared" ref="E83:E95" si="8">D83-C83</f>
        <v>624305</v>
      </c>
      <c r="F83" s="449">
        <f t="shared" ref="F83:F95" si="9">IF(C83=0,0,E83/C83)</f>
        <v>0.50507620578596035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43966</v>
      </c>
      <c r="D84" s="448">
        <v>0</v>
      </c>
      <c r="E84" s="448">
        <f t="shared" si="8"/>
        <v>-43966</v>
      </c>
      <c r="F84" s="449">
        <f t="shared" si="9"/>
        <v>-1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3.5569441961197705E-2</v>
      </c>
      <c r="D85" s="453">
        <f>IF(LN_IC1=0,0,LN_IC2/LN_IC1)</f>
        <v>0</v>
      </c>
      <c r="E85" s="454">
        <f t="shared" si="8"/>
        <v>-3.5569441961197705E-2</v>
      </c>
      <c r="F85" s="449">
        <f t="shared" si="9"/>
        <v>-1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64</v>
      </c>
      <c r="D86" s="456">
        <v>77</v>
      </c>
      <c r="E86" s="456">
        <f t="shared" si="8"/>
        <v>13</v>
      </c>
      <c r="F86" s="449">
        <f t="shared" si="9"/>
        <v>0.203125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1.0867899999999999</v>
      </c>
      <c r="D87" s="459">
        <v>1.1203000000000001</v>
      </c>
      <c r="E87" s="460">
        <f t="shared" si="8"/>
        <v>3.3510000000000151E-2</v>
      </c>
      <c r="F87" s="449">
        <f t="shared" si="9"/>
        <v>3.0833923757119731E-2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69.554559999999995</v>
      </c>
      <c r="D88" s="463">
        <f>LN_IC4*LN_IC5</f>
        <v>86.263100000000009</v>
      </c>
      <c r="E88" s="463">
        <f t="shared" si="8"/>
        <v>16.708540000000013</v>
      </c>
      <c r="F88" s="449">
        <f t="shared" si="9"/>
        <v>0.24022206452028472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632.10808895922855</v>
      </c>
      <c r="D89" s="465">
        <f>IF(LN_IC6=0,0,LN_IC2/LN_IC6)</f>
        <v>0</v>
      </c>
      <c r="E89" s="465">
        <f t="shared" si="8"/>
        <v>-632.10808895922855</v>
      </c>
      <c r="F89" s="449">
        <f t="shared" si="9"/>
        <v>-1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7929.2199524781099</v>
      </c>
      <c r="D90" s="465">
        <f>LN_IB7-LN_IC7</f>
        <v>8336.8662808082681</v>
      </c>
      <c r="E90" s="465">
        <f t="shared" si="8"/>
        <v>407.64632833015821</v>
      </c>
      <c r="F90" s="449">
        <f t="shared" si="9"/>
        <v>5.1410647046404225E-2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6501.1414753390363</v>
      </c>
      <c r="D91" s="465">
        <f>LN_IA7-LN_IC7</f>
        <v>5906.9815703913046</v>
      </c>
      <c r="E91" s="465">
        <f t="shared" si="8"/>
        <v>-594.15990494773177</v>
      </c>
      <c r="F91" s="449">
        <f t="shared" si="9"/>
        <v>-9.1393166446473342E-2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452184.03481495747</v>
      </c>
      <c r="D92" s="441">
        <f>LN_IC9*LN_IC6</f>
        <v>509554.54190482217</v>
      </c>
      <c r="E92" s="441">
        <f t="shared" si="8"/>
        <v>57370.507089864695</v>
      </c>
      <c r="F92" s="449">
        <f t="shared" si="9"/>
        <v>0.12687424294699354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208</v>
      </c>
      <c r="D93" s="456">
        <v>357</v>
      </c>
      <c r="E93" s="456">
        <f t="shared" si="8"/>
        <v>149</v>
      </c>
      <c r="F93" s="449">
        <f t="shared" si="9"/>
        <v>0.71634615384615385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211.375</v>
      </c>
      <c r="D94" s="499">
        <f>IF(LN_IC11=0,0,LN_IC2/LN_IC11)</f>
        <v>0</v>
      </c>
      <c r="E94" s="499">
        <f t="shared" si="8"/>
        <v>-211.375</v>
      </c>
      <c r="F94" s="449">
        <f t="shared" si="9"/>
        <v>-1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3.25</v>
      </c>
      <c r="D95" s="466">
        <f>IF(LN_IC4=0,0,LN_IC11/LN_IC4)</f>
        <v>4.6363636363636367</v>
      </c>
      <c r="E95" s="466">
        <f t="shared" si="8"/>
        <v>1.3863636363636367</v>
      </c>
      <c r="F95" s="449">
        <f t="shared" si="9"/>
        <v>0.42657342657342667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7304045</v>
      </c>
      <c r="D98" s="448">
        <v>8303646</v>
      </c>
      <c r="E98" s="448">
        <f t="shared" ref="E98:E106" si="10">D98-C98</f>
        <v>999601</v>
      </c>
      <c r="F98" s="449">
        <f t="shared" ref="F98:F106" si="11">IF(C98=0,0,E98/C98)</f>
        <v>0.13685581071858127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305620</v>
      </c>
      <c r="D99" s="448">
        <v>0</v>
      </c>
      <c r="E99" s="448">
        <f t="shared" si="10"/>
        <v>-305620</v>
      </c>
      <c r="F99" s="449">
        <f t="shared" si="11"/>
        <v>-1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4.1842568056467341E-2</v>
      </c>
      <c r="D100" s="453">
        <f>IF(LN_IC14=0,0,LN_IC15/LN_IC14)</f>
        <v>0</v>
      </c>
      <c r="E100" s="454">
        <f t="shared" si="10"/>
        <v>-4.1842568056467341E-2</v>
      </c>
      <c r="F100" s="449">
        <f t="shared" si="11"/>
        <v>-1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5.9091298892206776</v>
      </c>
      <c r="D101" s="453">
        <f>IF(LN_IC1=0,0,LN_IC14/LN_IC1)</f>
        <v>4.4634475151663704</v>
      </c>
      <c r="E101" s="454">
        <f t="shared" si="10"/>
        <v>-1.4456823740543072</v>
      </c>
      <c r="F101" s="449">
        <f t="shared" si="11"/>
        <v>-0.24465232634190248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378.18431291012337</v>
      </c>
      <c r="D102" s="463">
        <f>LN_IC17*LN_IC4</f>
        <v>343.68545866781051</v>
      </c>
      <c r="E102" s="463">
        <f t="shared" si="10"/>
        <v>-34.498854242312859</v>
      </c>
      <c r="F102" s="449">
        <f t="shared" si="11"/>
        <v>-9.1222330130101448E-2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808.12447678820433</v>
      </c>
      <c r="D103" s="465">
        <f>IF(LN_IC18=0,0,LN_IC15/LN_IC18)</f>
        <v>0</v>
      </c>
      <c r="E103" s="465">
        <f t="shared" si="10"/>
        <v>-808.12447678820433</v>
      </c>
      <c r="F103" s="449">
        <f t="shared" si="11"/>
        <v>-1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6322.653177802531</v>
      </c>
      <c r="D104" s="465">
        <f>LN_IB18-LN_IC19</f>
        <v>7527.7329717000503</v>
      </c>
      <c r="E104" s="465">
        <f t="shared" si="10"/>
        <v>1205.0797938975193</v>
      </c>
      <c r="F104" s="449">
        <f t="shared" si="11"/>
        <v>0.1905971686266604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6111.5095112970985</v>
      </c>
      <c r="D105" s="465">
        <f>LN_IA16-LN_IC19</f>
        <v>7337.0648180939834</v>
      </c>
      <c r="E105" s="465">
        <f t="shared" si="10"/>
        <v>1225.5553067968849</v>
      </c>
      <c r="F105" s="449">
        <f t="shared" si="11"/>
        <v>0.20053234058319819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2311277.0253735771</v>
      </c>
      <c r="D106" s="448">
        <f>LN_IC21*LN_IC18</f>
        <v>2521642.4872820862</v>
      </c>
      <c r="E106" s="448">
        <f t="shared" si="10"/>
        <v>210365.46190850902</v>
      </c>
      <c r="F106" s="449">
        <f t="shared" si="11"/>
        <v>9.1016983078654176E-2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8540106</v>
      </c>
      <c r="D109" s="448">
        <f>LN_IC1+LN_IC14</f>
        <v>10164012</v>
      </c>
      <c r="E109" s="448">
        <f>D109-C109</f>
        <v>1623906</v>
      </c>
      <c r="F109" s="449">
        <f>IF(C109=0,0,E109/C109)</f>
        <v>0.19015056721778395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349586</v>
      </c>
      <c r="D110" s="448">
        <f>LN_IC2+LN_IC15</f>
        <v>0</v>
      </c>
      <c r="E110" s="448">
        <f>D110-C110</f>
        <v>-349586</v>
      </c>
      <c r="F110" s="449">
        <f>IF(C110=0,0,E110/C110)</f>
        <v>-1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8190520</v>
      </c>
      <c r="D111" s="448">
        <f>LN_IC23-LN_IC24</f>
        <v>10164012</v>
      </c>
      <c r="E111" s="448">
        <f>D111-C111</f>
        <v>1973492</v>
      </c>
      <c r="F111" s="449">
        <f>IF(C111=0,0,E111/C111)</f>
        <v>0.2409483158578454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2763461.0601885347</v>
      </c>
      <c r="D113" s="448">
        <f>LN_IC10+LN_IC22</f>
        <v>3031197.0291869082</v>
      </c>
      <c r="E113" s="448">
        <f>D113-C113</f>
        <v>267735.96899837349</v>
      </c>
      <c r="F113" s="449">
        <f>IF(C113=0,0,E113/C113)</f>
        <v>9.6884292257806384E-2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45897932</v>
      </c>
      <c r="D118" s="448">
        <v>53860591</v>
      </c>
      <c r="E118" s="448">
        <f t="shared" ref="E118:E130" si="12">D118-C118</f>
        <v>7962659</v>
      </c>
      <c r="F118" s="449">
        <f t="shared" ref="F118:F130" si="13">IF(C118=0,0,E118/C118)</f>
        <v>0.17348622591536367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13073310</v>
      </c>
      <c r="D119" s="448">
        <v>12202801</v>
      </c>
      <c r="E119" s="448">
        <f t="shared" si="12"/>
        <v>-870509</v>
      </c>
      <c r="F119" s="449">
        <f t="shared" si="13"/>
        <v>-6.6586732816708238E-2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0.28483440168938329</v>
      </c>
      <c r="D120" s="453">
        <f>IF(LN_ID1=0,0,LN_1D2/LN_ID1)</f>
        <v>0.22656270147499866</v>
      </c>
      <c r="E120" s="454">
        <f t="shared" si="12"/>
        <v>-5.8271700214384631E-2</v>
      </c>
      <c r="F120" s="449">
        <f t="shared" si="13"/>
        <v>-0.20458097711782336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2269</v>
      </c>
      <c r="D121" s="456">
        <v>2586</v>
      </c>
      <c r="E121" s="456">
        <f t="shared" si="12"/>
        <v>317</v>
      </c>
      <c r="F121" s="449">
        <f t="shared" si="13"/>
        <v>0.13970912296165711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1.02108</v>
      </c>
      <c r="D122" s="459">
        <v>1.0337000000000001</v>
      </c>
      <c r="E122" s="460">
        <f t="shared" si="12"/>
        <v>1.2620000000000076E-2</v>
      </c>
      <c r="F122" s="449">
        <f t="shared" si="13"/>
        <v>1.2359462529870408E-2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2316.83052</v>
      </c>
      <c r="D123" s="463">
        <f>LN_ID4*LN_ID5</f>
        <v>2673.1482000000001</v>
      </c>
      <c r="E123" s="463">
        <f t="shared" si="12"/>
        <v>356.31768000000011</v>
      </c>
      <c r="F123" s="449">
        <f t="shared" si="13"/>
        <v>0.15379531516185316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5642.7562944914935</v>
      </c>
      <c r="D124" s="465">
        <f>IF(LN_ID6=0,0,LN_1D2/LN_ID6)</f>
        <v>4564.9549097203062</v>
      </c>
      <c r="E124" s="465">
        <f t="shared" si="12"/>
        <v>-1077.8013847711873</v>
      </c>
      <c r="F124" s="449">
        <f t="shared" si="13"/>
        <v>-0.19100619068439056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2918.571746945845</v>
      </c>
      <c r="D125" s="465">
        <f>LN_IB7-LN_ID7</f>
        <v>3771.9113710879619</v>
      </c>
      <c r="E125" s="465">
        <f t="shared" si="12"/>
        <v>853.33962414211692</v>
      </c>
      <c r="F125" s="449">
        <f t="shared" si="13"/>
        <v>0.29238260975941355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1490.4932698067714</v>
      </c>
      <c r="D126" s="465">
        <f>LN_IA7-LN_ID7</f>
        <v>1342.0266606709984</v>
      </c>
      <c r="E126" s="465">
        <f t="shared" si="12"/>
        <v>-148.46660913577307</v>
      </c>
      <c r="F126" s="449">
        <f t="shared" si="13"/>
        <v>-9.9609043625551147E-2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3453220.2973429225</v>
      </c>
      <c r="D127" s="479">
        <f>LN_ID9*LN_ID6</f>
        <v>3587436.15232469</v>
      </c>
      <c r="E127" s="479">
        <f t="shared" si="12"/>
        <v>134215.85498176748</v>
      </c>
      <c r="F127" s="449">
        <f t="shared" si="13"/>
        <v>3.8866867278939531E-2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10980</v>
      </c>
      <c r="D128" s="456">
        <v>11673</v>
      </c>
      <c r="E128" s="456">
        <f t="shared" si="12"/>
        <v>693</v>
      </c>
      <c r="F128" s="449">
        <f t="shared" si="13"/>
        <v>6.3114754098360662E-2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1190.6475409836066</v>
      </c>
      <c r="D129" s="465">
        <f>IF(LN_ID11=0,0,LN_1D2/LN_ID11)</f>
        <v>1045.3868756960508</v>
      </c>
      <c r="E129" s="465">
        <f t="shared" si="12"/>
        <v>-145.26066528755587</v>
      </c>
      <c r="F129" s="449">
        <f t="shared" si="13"/>
        <v>-0.12200139864023445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4.8391361833406785</v>
      </c>
      <c r="D130" s="466">
        <f>IF(LN_ID4=0,0,LN_ID11/LN_ID4)</f>
        <v>4.5139211136890953</v>
      </c>
      <c r="E130" s="466">
        <f t="shared" si="12"/>
        <v>-0.3252150696515832</v>
      </c>
      <c r="F130" s="449">
        <f t="shared" si="13"/>
        <v>-6.7205190622900035E-2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85970911</v>
      </c>
      <c r="D133" s="448">
        <v>92970433</v>
      </c>
      <c r="E133" s="448">
        <f t="shared" ref="E133:E141" si="14">D133-C133</f>
        <v>6999522</v>
      </c>
      <c r="F133" s="449">
        <f t="shared" ref="F133:F141" si="15">IF(C133=0,0,E133/C133)</f>
        <v>8.1417329636067251E-2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16314131</v>
      </c>
      <c r="D134" s="448">
        <v>18481746</v>
      </c>
      <c r="E134" s="448">
        <f t="shared" si="14"/>
        <v>2167615</v>
      </c>
      <c r="F134" s="449">
        <f t="shared" si="15"/>
        <v>0.13286732833026779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0.18976338403579324</v>
      </c>
      <c r="D135" s="453">
        <f>IF(LN_ID14=0,0,LN_ID15/LN_ID14)</f>
        <v>0.19879165239555247</v>
      </c>
      <c r="E135" s="454">
        <f t="shared" si="14"/>
        <v>9.0282683597592284E-3</v>
      </c>
      <c r="F135" s="449">
        <f t="shared" si="15"/>
        <v>4.7576451092673985E-2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1.8730889879744472</v>
      </c>
      <c r="D136" s="453">
        <f>IF(LN_ID1=0,0,LN_ID14/LN_ID1)</f>
        <v>1.7261309479504225</v>
      </c>
      <c r="E136" s="454">
        <f t="shared" si="14"/>
        <v>-0.14695804002402468</v>
      </c>
      <c r="F136" s="449">
        <f t="shared" si="15"/>
        <v>-7.8457585820812845E-2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4250.038913714021</v>
      </c>
      <c r="D137" s="463">
        <f>LN_ID17*LN_ID4</f>
        <v>4463.7746313997923</v>
      </c>
      <c r="E137" s="463">
        <f t="shared" si="14"/>
        <v>213.73571768577131</v>
      </c>
      <c r="F137" s="449">
        <f t="shared" si="15"/>
        <v>5.0290296636129404E-2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3838.5839121043291</v>
      </c>
      <c r="D138" s="465">
        <f>IF(LN_ID18=0,0,LN_ID15/LN_ID18)</f>
        <v>4140.385105913002</v>
      </c>
      <c r="E138" s="465">
        <f t="shared" si="14"/>
        <v>301.80119380867291</v>
      </c>
      <c r="F138" s="449">
        <f t="shared" si="15"/>
        <v>7.8623054938826153E-2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3292.1937424864063</v>
      </c>
      <c r="D139" s="465">
        <f>LN_IB18-LN_ID19</f>
        <v>3387.3478657870482</v>
      </c>
      <c r="E139" s="465">
        <f t="shared" si="14"/>
        <v>95.154123300641913</v>
      </c>
      <c r="F139" s="449">
        <f t="shared" si="15"/>
        <v>2.8902953697001268E-2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3081.0500759809738</v>
      </c>
      <c r="D140" s="465">
        <f>LN_IA16-LN_ID19</f>
        <v>3196.6797121809814</v>
      </c>
      <c r="E140" s="465">
        <f t="shared" si="14"/>
        <v>115.62963620000755</v>
      </c>
      <c r="F140" s="449">
        <f t="shared" si="15"/>
        <v>3.7529294671782412E-2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13094582.718020679</v>
      </c>
      <c r="D141" s="441">
        <f>LN_ID21*LN_ID18</f>
        <v>14269257.803943854</v>
      </c>
      <c r="E141" s="441">
        <f t="shared" si="14"/>
        <v>1174675.0859231744</v>
      </c>
      <c r="F141" s="449">
        <f t="shared" si="15"/>
        <v>8.9706950669500463E-2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131868843</v>
      </c>
      <c r="D144" s="448">
        <f>LN_ID1+LN_ID14</f>
        <v>146831024</v>
      </c>
      <c r="E144" s="448">
        <f>D144-C144</f>
        <v>14962181</v>
      </c>
      <c r="F144" s="449">
        <f>IF(C144=0,0,E144/C144)</f>
        <v>0.11346259404126265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29387441</v>
      </c>
      <c r="D145" s="448">
        <f>LN_1D2+LN_ID15</f>
        <v>30684547</v>
      </c>
      <c r="E145" s="448">
        <f>D145-C145</f>
        <v>1297106</v>
      </c>
      <c r="F145" s="449">
        <f>IF(C145=0,0,E145/C145)</f>
        <v>4.4138106478886677E-2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102481402</v>
      </c>
      <c r="D146" s="448">
        <f>LN_ID23-LN_ID24</f>
        <v>116146477</v>
      </c>
      <c r="E146" s="448">
        <f>D146-C146</f>
        <v>13665075</v>
      </c>
      <c r="F146" s="449">
        <f>IF(C146=0,0,E146/C146)</f>
        <v>0.13334199897070104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16547803.015363602</v>
      </c>
      <c r="D148" s="448">
        <f>LN_ID10+LN_ID22</f>
        <v>17856693.956268545</v>
      </c>
      <c r="E148" s="448">
        <f>D148-C148</f>
        <v>1308890.9409049433</v>
      </c>
      <c r="F148" s="503">
        <f>IF(C148=0,0,E148/C148)</f>
        <v>7.9097565984422205E-2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8561.3280414373385</v>
      </c>
      <c r="D160" s="465">
        <f>LN_IB7-LN_IE7</f>
        <v>8336.8662808082681</v>
      </c>
      <c r="E160" s="465">
        <f t="shared" si="16"/>
        <v>-224.46176062907034</v>
      </c>
      <c r="F160" s="449">
        <f t="shared" si="17"/>
        <v>-2.6218100689830132E-2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7133.2495642982649</v>
      </c>
      <c r="D161" s="465">
        <f>LN_IA7-LN_IE7</f>
        <v>5906.9815703913046</v>
      </c>
      <c r="E161" s="465">
        <f t="shared" si="16"/>
        <v>-1226.2679939069603</v>
      </c>
      <c r="F161" s="449">
        <f t="shared" si="17"/>
        <v>-0.17190874689768335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7130.7776545907354</v>
      </c>
      <c r="D174" s="465">
        <f>LN_IB18-LN_IE19</f>
        <v>7527.7329717000503</v>
      </c>
      <c r="E174" s="465">
        <f t="shared" si="18"/>
        <v>396.95531710931482</v>
      </c>
      <c r="F174" s="449">
        <f t="shared" si="19"/>
        <v>5.5667885935800882E-2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6919.6339880853029</v>
      </c>
      <c r="D175" s="465">
        <f>LN_IA16-LN_IE19</f>
        <v>7337.0648180939834</v>
      </c>
      <c r="E175" s="465">
        <f t="shared" si="18"/>
        <v>417.43083000868046</v>
      </c>
      <c r="F175" s="449">
        <f t="shared" si="19"/>
        <v>6.0325565012172795E-2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45897932</v>
      </c>
      <c r="D188" s="448">
        <f>LN_ID1+LN_IE1</f>
        <v>53860591</v>
      </c>
      <c r="E188" s="448">
        <f t="shared" ref="E188:E200" si="20">D188-C188</f>
        <v>7962659</v>
      </c>
      <c r="F188" s="449">
        <f t="shared" ref="F188:F200" si="21">IF(C188=0,0,E188/C188)</f>
        <v>0.17348622591536367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13073310</v>
      </c>
      <c r="D189" s="448">
        <f>LN_1D2+LN_IE2</f>
        <v>12202801</v>
      </c>
      <c r="E189" s="448">
        <f t="shared" si="20"/>
        <v>-870509</v>
      </c>
      <c r="F189" s="449">
        <f t="shared" si="21"/>
        <v>-6.6586732816708238E-2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0.28483440168938329</v>
      </c>
      <c r="D190" s="453">
        <f>IF(LN_IF1=0,0,LN_IF2/LN_IF1)</f>
        <v>0.22656270147499866</v>
      </c>
      <c r="E190" s="454">
        <f t="shared" si="20"/>
        <v>-5.8271700214384631E-2</v>
      </c>
      <c r="F190" s="449">
        <f t="shared" si="21"/>
        <v>-0.20458097711782336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2269</v>
      </c>
      <c r="D191" s="456">
        <f>LN_ID4+LN_IE4</f>
        <v>2586</v>
      </c>
      <c r="E191" s="456">
        <f t="shared" si="20"/>
        <v>317</v>
      </c>
      <c r="F191" s="449">
        <f t="shared" si="21"/>
        <v>0.13970912296165711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1.02108</v>
      </c>
      <c r="D192" s="459">
        <f>IF((LN_ID4+LN_IE4)=0,0,(LN_ID6+LN_IE6)/(LN_ID4+LN_IE4))</f>
        <v>1.0337000000000001</v>
      </c>
      <c r="E192" s="460">
        <f t="shared" si="20"/>
        <v>1.2620000000000076E-2</v>
      </c>
      <c r="F192" s="449">
        <f t="shared" si="21"/>
        <v>1.2359462529870408E-2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2316.83052</v>
      </c>
      <c r="D193" s="463">
        <f>LN_IF4*LN_IF5</f>
        <v>2673.1482000000001</v>
      </c>
      <c r="E193" s="463">
        <f t="shared" si="20"/>
        <v>356.31768000000011</v>
      </c>
      <c r="F193" s="449">
        <f t="shared" si="21"/>
        <v>0.15379531516185316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5642.7562944914935</v>
      </c>
      <c r="D194" s="465">
        <f>IF(LN_IF6=0,0,LN_IF2/LN_IF6)</f>
        <v>4564.9549097203062</v>
      </c>
      <c r="E194" s="465">
        <f t="shared" si="20"/>
        <v>-1077.8013847711873</v>
      </c>
      <c r="F194" s="449">
        <f t="shared" si="21"/>
        <v>-0.19100619068439056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2918.571746945845</v>
      </c>
      <c r="D195" s="465">
        <f>LN_IB7-LN_IF7</f>
        <v>3771.9113710879619</v>
      </c>
      <c r="E195" s="465">
        <f t="shared" si="20"/>
        <v>853.33962414211692</v>
      </c>
      <c r="F195" s="449">
        <f t="shared" si="21"/>
        <v>0.29238260975941355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1490.4932698067714</v>
      </c>
      <c r="D196" s="465">
        <f>LN_IA7-LN_IF7</f>
        <v>1342.0266606709984</v>
      </c>
      <c r="E196" s="465">
        <f t="shared" si="20"/>
        <v>-148.46660913577307</v>
      </c>
      <c r="F196" s="449">
        <f t="shared" si="21"/>
        <v>-9.9609043625551147E-2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3453220.2973429225</v>
      </c>
      <c r="D197" s="479">
        <f>LN_IF9*LN_IF6</f>
        <v>3587436.15232469</v>
      </c>
      <c r="E197" s="479">
        <f t="shared" si="20"/>
        <v>134215.85498176748</v>
      </c>
      <c r="F197" s="449">
        <f t="shared" si="21"/>
        <v>3.8866867278939531E-2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10980</v>
      </c>
      <c r="D198" s="456">
        <f>LN_ID11+LN_IE11</f>
        <v>11673</v>
      </c>
      <c r="E198" s="456">
        <f t="shared" si="20"/>
        <v>693</v>
      </c>
      <c r="F198" s="449">
        <f t="shared" si="21"/>
        <v>6.3114754098360662E-2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1190.6475409836066</v>
      </c>
      <c r="D199" s="519">
        <f>IF(LN_IF11=0,0,LN_IF2/LN_IF11)</f>
        <v>1045.3868756960508</v>
      </c>
      <c r="E199" s="519">
        <f t="shared" si="20"/>
        <v>-145.26066528755587</v>
      </c>
      <c r="F199" s="449">
        <f t="shared" si="21"/>
        <v>-0.12200139864023445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4.8391361833406785</v>
      </c>
      <c r="D200" s="466">
        <f>IF(LN_IF4=0,0,LN_IF11/LN_IF4)</f>
        <v>4.5139211136890953</v>
      </c>
      <c r="E200" s="466">
        <f t="shared" si="20"/>
        <v>-0.3252150696515832</v>
      </c>
      <c r="F200" s="449">
        <f t="shared" si="21"/>
        <v>-6.7205190622900035E-2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85970911</v>
      </c>
      <c r="D203" s="448">
        <f>LN_ID14+LN_IE14</f>
        <v>92970433</v>
      </c>
      <c r="E203" s="448">
        <f t="shared" ref="E203:E211" si="22">D203-C203</f>
        <v>6999522</v>
      </c>
      <c r="F203" s="449">
        <f t="shared" ref="F203:F211" si="23">IF(C203=0,0,E203/C203)</f>
        <v>8.1417329636067251E-2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16314131</v>
      </c>
      <c r="D204" s="448">
        <f>LN_ID15+LN_IE15</f>
        <v>18481746</v>
      </c>
      <c r="E204" s="448">
        <f t="shared" si="22"/>
        <v>2167615</v>
      </c>
      <c r="F204" s="449">
        <f t="shared" si="23"/>
        <v>0.13286732833026779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0.18976338403579324</v>
      </c>
      <c r="D205" s="453">
        <f>IF(LN_IF14=0,0,LN_IF15/LN_IF14)</f>
        <v>0.19879165239555247</v>
      </c>
      <c r="E205" s="454">
        <f t="shared" si="22"/>
        <v>9.0282683597592284E-3</v>
      </c>
      <c r="F205" s="449">
        <f t="shared" si="23"/>
        <v>4.7576451092673985E-2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1.8730889879744472</v>
      </c>
      <c r="D206" s="453">
        <f>IF(LN_IF1=0,0,LN_IF14/LN_IF1)</f>
        <v>1.7261309479504225</v>
      </c>
      <c r="E206" s="454">
        <f t="shared" si="22"/>
        <v>-0.14695804002402468</v>
      </c>
      <c r="F206" s="449">
        <f t="shared" si="23"/>
        <v>-7.8457585820812845E-2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4250.038913714021</v>
      </c>
      <c r="D207" s="463">
        <f>LN_ID18+LN_IE18</f>
        <v>4463.7746313997923</v>
      </c>
      <c r="E207" s="463">
        <f t="shared" si="22"/>
        <v>213.73571768577131</v>
      </c>
      <c r="F207" s="449">
        <f t="shared" si="23"/>
        <v>5.0290296636129404E-2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3838.5839121043291</v>
      </c>
      <c r="D208" s="465">
        <f>IF(LN_IF18=0,0,LN_IF15/LN_IF18)</f>
        <v>4140.385105913002</v>
      </c>
      <c r="E208" s="465">
        <f t="shared" si="22"/>
        <v>301.80119380867291</v>
      </c>
      <c r="F208" s="449">
        <f t="shared" si="23"/>
        <v>7.8623054938826153E-2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3292.1937424864063</v>
      </c>
      <c r="D209" s="465">
        <f>LN_IB18-LN_IF19</f>
        <v>3387.3478657870482</v>
      </c>
      <c r="E209" s="465">
        <f t="shared" si="22"/>
        <v>95.154123300641913</v>
      </c>
      <c r="F209" s="449">
        <f t="shared" si="23"/>
        <v>2.8902953697001268E-2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3081.0500759809738</v>
      </c>
      <c r="D210" s="465">
        <f>LN_IA16-LN_IF19</f>
        <v>3196.6797121809814</v>
      </c>
      <c r="E210" s="465">
        <f t="shared" si="22"/>
        <v>115.62963620000755</v>
      </c>
      <c r="F210" s="449">
        <f t="shared" si="23"/>
        <v>3.7529294671782412E-2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13094582.718020679</v>
      </c>
      <c r="D211" s="441">
        <f>LN_IF21*LN_IF18</f>
        <v>14269257.803943854</v>
      </c>
      <c r="E211" s="441">
        <f t="shared" si="22"/>
        <v>1174675.0859231744</v>
      </c>
      <c r="F211" s="449">
        <f t="shared" si="23"/>
        <v>8.9706950669500463E-2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131868843</v>
      </c>
      <c r="D214" s="448">
        <f>LN_IF1+LN_IF14</f>
        <v>146831024</v>
      </c>
      <c r="E214" s="448">
        <f>D214-C214</f>
        <v>14962181</v>
      </c>
      <c r="F214" s="449">
        <f>IF(C214=0,0,E214/C214)</f>
        <v>0.11346259404126265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29387441</v>
      </c>
      <c r="D215" s="448">
        <f>LN_IF2+LN_IF15</f>
        <v>30684547</v>
      </c>
      <c r="E215" s="448">
        <f>D215-C215</f>
        <v>1297106</v>
      </c>
      <c r="F215" s="449">
        <f>IF(C215=0,0,E215/C215)</f>
        <v>4.4138106478886677E-2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102481402</v>
      </c>
      <c r="D216" s="448">
        <f>LN_IF23-LN_IF24</f>
        <v>116146477</v>
      </c>
      <c r="E216" s="448">
        <f>D216-C216</f>
        <v>13665075</v>
      </c>
      <c r="F216" s="449">
        <f>IF(C216=0,0,E216/C216)</f>
        <v>0.13334199897070104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1605652</v>
      </c>
      <c r="D221" s="448">
        <v>1102245</v>
      </c>
      <c r="E221" s="448">
        <f t="shared" ref="E221:E230" si="24">D221-C221</f>
        <v>-503407</v>
      </c>
      <c r="F221" s="449">
        <f t="shared" ref="F221:F230" si="25">IF(C221=0,0,E221/C221)</f>
        <v>-0.31352185903296603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345852</v>
      </c>
      <c r="D222" s="448">
        <v>397107</v>
      </c>
      <c r="E222" s="448">
        <f t="shared" si="24"/>
        <v>51255</v>
      </c>
      <c r="F222" s="449">
        <f t="shared" si="25"/>
        <v>0.14819922972832308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0.21539661146998229</v>
      </c>
      <c r="D223" s="453">
        <f>IF(LN_IG1=0,0,LN_IG2/LN_IG1)</f>
        <v>0.36027108310765754</v>
      </c>
      <c r="E223" s="454">
        <f t="shared" si="24"/>
        <v>0.14487447163767525</v>
      </c>
      <c r="F223" s="449">
        <f t="shared" si="25"/>
        <v>0.67259401458998802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76</v>
      </c>
      <c r="D224" s="456">
        <v>45</v>
      </c>
      <c r="E224" s="456">
        <f t="shared" si="24"/>
        <v>-31</v>
      </c>
      <c r="F224" s="449">
        <f t="shared" si="25"/>
        <v>-0.40789473684210525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1.0809</v>
      </c>
      <c r="D225" s="459">
        <v>1.0025999999999999</v>
      </c>
      <c r="E225" s="460">
        <f t="shared" si="24"/>
        <v>-7.8300000000000036E-2</v>
      </c>
      <c r="F225" s="449">
        <f t="shared" si="25"/>
        <v>-7.243963363863451E-2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82.148399999999995</v>
      </c>
      <c r="D226" s="463">
        <f>LN_IG3*LN_IG4</f>
        <v>45.116999999999997</v>
      </c>
      <c r="E226" s="463">
        <f t="shared" si="24"/>
        <v>-37.031399999999998</v>
      </c>
      <c r="F226" s="449">
        <f t="shared" si="25"/>
        <v>-0.4507866251807704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4210.0880844909943</v>
      </c>
      <c r="D227" s="465">
        <f>IF(LN_IG5=0,0,LN_IG2/LN_IG5)</f>
        <v>8801.7155395970476</v>
      </c>
      <c r="E227" s="465">
        <f t="shared" si="24"/>
        <v>4591.6274551060533</v>
      </c>
      <c r="F227" s="449">
        <f t="shared" si="25"/>
        <v>1.0906250327684504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369</v>
      </c>
      <c r="D228" s="456">
        <v>173</v>
      </c>
      <c r="E228" s="456">
        <f t="shared" si="24"/>
        <v>-196</v>
      </c>
      <c r="F228" s="449">
        <f t="shared" si="25"/>
        <v>-0.53116531165311653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937.26829268292681</v>
      </c>
      <c r="D229" s="465">
        <f>IF(LN_IG6=0,0,LN_IG2/LN_IG6)</f>
        <v>2295.4161849710981</v>
      </c>
      <c r="E229" s="465">
        <f t="shared" si="24"/>
        <v>1358.1478922881713</v>
      </c>
      <c r="F229" s="449">
        <f t="shared" si="25"/>
        <v>1.4490492241026081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4.8552631578947372</v>
      </c>
      <c r="D230" s="466">
        <f>IF(LN_IG3=0,0,LN_IG6/LN_IG3)</f>
        <v>3.8444444444444446</v>
      </c>
      <c r="E230" s="466">
        <f t="shared" si="24"/>
        <v>-1.0108187134502926</v>
      </c>
      <c r="F230" s="449">
        <f t="shared" si="25"/>
        <v>-0.20819030412526351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1722468</v>
      </c>
      <c r="D233" s="448">
        <v>1712326</v>
      </c>
      <c r="E233" s="448">
        <f>D233-C233</f>
        <v>-10142</v>
      </c>
      <c r="F233" s="449">
        <f>IF(C233=0,0,E233/C233)</f>
        <v>-5.8880629422433392E-3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369044</v>
      </c>
      <c r="D234" s="448">
        <v>508217</v>
      </c>
      <c r="E234" s="448">
        <f>D234-C234</f>
        <v>139173</v>
      </c>
      <c r="F234" s="449">
        <f>IF(C234=0,0,E234/C234)</f>
        <v>0.37711763366969792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3328120</v>
      </c>
      <c r="D237" s="448">
        <f>LN_IG1+LN_IG9</f>
        <v>2814571</v>
      </c>
      <c r="E237" s="448">
        <f>D237-C237</f>
        <v>-513549</v>
      </c>
      <c r="F237" s="449">
        <f>IF(C237=0,0,E237/C237)</f>
        <v>-0.15430603463817411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714896</v>
      </c>
      <c r="D238" s="448">
        <f>LN_IG2+LN_IG10</f>
        <v>905324</v>
      </c>
      <c r="E238" s="448">
        <f>D238-C238</f>
        <v>190428</v>
      </c>
      <c r="F238" s="449">
        <f>IF(C238=0,0,E238/C238)</f>
        <v>0.26637161209462634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2613224</v>
      </c>
      <c r="D239" s="448">
        <f>LN_IG13-LN_IG14</f>
        <v>1909247</v>
      </c>
      <c r="E239" s="448">
        <f>D239-C239</f>
        <v>-703977</v>
      </c>
      <c r="F239" s="449">
        <f>IF(C239=0,0,E239/C239)</f>
        <v>-0.2693902244889837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12387148</v>
      </c>
      <c r="D243" s="448">
        <v>10090574</v>
      </c>
      <c r="E243" s="441">
        <f>D243-C243</f>
        <v>-2296574</v>
      </c>
      <c r="F243" s="503">
        <f>IF(C243=0,0,E243/C243)</f>
        <v>-0.18539973850316474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179724323</v>
      </c>
      <c r="D244" s="448">
        <v>192710898</v>
      </c>
      <c r="E244" s="441">
        <f>D244-C244</f>
        <v>12986575</v>
      </c>
      <c r="F244" s="503">
        <f>IF(C244=0,0,E244/C244)</f>
        <v>7.2258305293491074E-2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1553798</v>
      </c>
      <c r="D248" s="441">
        <v>2297057</v>
      </c>
      <c r="E248" s="441">
        <f>D248-C248</f>
        <v>743259</v>
      </c>
      <c r="F248" s="449">
        <f>IF(C248=0,0,E248/C248)</f>
        <v>0.47834982410841048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6806310</v>
      </c>
      <c r="D249" s="441">
        <v>10662336</v>
      </c>
      <c r="E249" s="441">
        <f>D249-C249</f>
        <v>3856026</v>
      </c>
      <c r="F249" s="449">
        <f>IF(C249=0,0,E249/C249)</f>
        <v>0.56653693410967176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8360108</v>
      </c>
      <c r="D250" s="441">
        <f>LN_IH4+LN_IH5</f>
        <v>12959393</v>
      </c>
      <c r="E250" s="441">
        <f>D250-C250</f>
        <v>4599285</v>
      </c>
      <c r="F250" s="449">
        <f>IF(C250=0,0,E250/C250)</f>
        <v>0.55014660097692514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2417985.3918527132</v>
      </c>
      <c r="D251" s="441">
        <f>LN_IH6*LN_III10</f>
        <v>3601194.1788085229</v>
      </c>
      <c r="E251" s="441">
        <f>D251-C251</f>
        <v>1183208.7869558097</v>
      </c>
      <c r="F251" s="449">
        <f>IF(C251=0,0,E251/C251)</f>
        <v>0.489336615077401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131868843</v>
      </c>
      <c r="D254" s="441">
        <f>LN_IF23</f>
        <v>146831024</v>
      </c>
      <c r="E254" s="441">
        <f>D254-C254</f>
        <v>14962181</v>
      </c>
      <c r="F254" s="449">
        <f>IF(C254=0,0,E254/C254)</f>
        <v>0.11346259404126265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29387441</v>
      </c>
      <c r="D255" s="441">
        <f>LN_IF24</f>
        <v>30684547</v>
      </c>
      <c r="E255" s="441">
        <f>D255-C255</f>
        <v>1297106</v>
      </c>
      <c r="F255" s="449">
        <f>IF(C255=0,0,E255/C255)</f>
        <v>4.4138106478886677E-2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38140289.098480418</v>
      </c>
      <c r="D256" s="441">
        <f>LN_IH8*LN_III10</f>
        <v>40801836.081157081</v>
      </c>
      <c r="E256" s="441">
        <f>D256-C256</f>
        <v>2661546.9826766625</v>
      </c>
      <c r="F256" s="449">
        <f>IF(C256=0,0,E256/C256)</f>
        <v>6.9783083599717743E-2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8752848.0984804183</v>
      </c>
      <c r="D257" s="441">
        <f>LN_IH10-LN_IH9</f>
        <v>10117289.081157081</v>
      </c>
      <c r="E257" s="441">
        <f>D257-C257</f>
        <v>1364440.9826766625</v>
      </c>
      <c r="F257" s="449">
        <f>IF(C257=0,0,E257/C257)</f>
        <v>0.15588537208974793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219935975</v>
      </c>
      <c r="D261" s="448">
        <f>LN_IA1+LN_IB1+LN_IF1+LN_IG1</f>
        <v>248649609</v>
      </c>
      <c r="E261" s="448">
        <f t="shared" ref="E261:E274" si="26">D261-C261</f>
        <v>28713634</v>
      </c>
      <c r="F261" s="503">
        <f t="shared" ref="F261:F274" si="27">IF(C261=0,0,E261/C261)</f>
        <v>0.13055451251210723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76215656</v>
      </c>
      <c r="D262" s="448">
        <f>+LN_IA2+LN_IB2+LN_IF2+LN_IG2</f>
        <v>72563401</v>
      </c>
      <c r="E262" s="448">
        <f t="shared" si="26"/>
        <v>-3652255</v>
      </c>
      <c r="F262" s="503">
        <f t="shared" si="27"/>
        <v>-4.7920010030485072E-2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0.34653564974988743</v>
      </c>
      <c r="D263" s="453">
        <f>IF(LN_IIA1=0,0,LN_IIA2/LN_IIA1)</f>
        <v>0.29182994210942031</v>
      </c>
      <c r="E263" s="454">
        <f t="shared" si="26"/>
        <v>-5.4705707640467116E-2</v>
      </c>
      <c r="F263" s="458">
        <f t="shared" si="27"/>
        <v>-0.15786458818869295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8806</v>
      </c>
      <c r="D264" s="456">
        <f>LN_IA4+LN_IB4+LN_IF4+LN_IG3</f>
        <v>9365</v>
      </c>
      <c r="E264" s="456">
        <f t="shared" si="26"/>
        <v>559</v>
      </c>
      <c r="F264" s="503">
        <f t="shared" si="27"/>
        <v>6.3479445832387002E-2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1.1999761798773563</v>
      </c>
      <c r="D265" s="525">
        <f>IF(LN_IIA4=0,0,LN_IIA6/LN_IIA4)</f>
        <v>1.2227103256807261</v>
      </c>
      <c r="E265" s="525">
        <f t="shared" si="26"/>
        <v>2.2734145803369854E-2</v>
      </c>
      <c r="F265" s="503">
        <f t="shared" si="27"/>
        <v>1.8945497572871322E-2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10566.990239999999</v>
      </c>
      <c r="D266" s="463">
        <f>LN_IA6+LN_IB6+LN_IF6+LN_IG5</f>
        <v>11450.682200000001</v>
      </c>
      <c r="E266" s="463">
        <f t="shared" si="26"/>
        <v>883.69196000000193</v>
      </c>
      <c r="F266" s="503">
        <f t="shared" si="27"/>
        <v>8.3627593092203134E-2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379110519</v>
      </c>
      <c r="D267" s="448">
        <f>LN_IA11+LN_IB13+LN_IF14+LN_IG9</f>
        <v>423046176</v>
      </c>
      <c r="E267" s="448">
        <f t="shared" si="26"/>
        <v>43935657</v>
      </c>
      <c r="F267" s="503">
        <f t="shared" si="27"/>
        <v>0.11589142162525963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1.72373127679544</v>
      </c>
      <c r="D268" s="453">
        <f>IF(LN_IIA1=0,0,LN_IIA7/LN_IIA1)</f>
        <v>1.7013747888097424</v>
      </c>
      <c r="E268" s="454">
        <f t="shared" si="26"/>
        <v>-2.2356487985697671E-2</v>
      </c>
      <c r="F268" s="458">
        <f t="shared" si="27"/>
        <v>-1.2969822086920789E-2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105406050</v>
      </c>
      <c r="D269" s="448">
        <f>LN_IA12+LN_IB14+LN_IF15+LN_IG10</f>
        <v>115235215</v>
      </c>
      <c r="E269" s="448">
        <f t="shared" si="26"/>
        <v>9829165</v>
      </c>
      <c r="F269" s="503">
        <f t="shared" si="27"/>
        <v>9.3250482301537721E-2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0.2780351499558365</v>
      </c>
      <c r="D270" s="453">
        <f>IF(LN_IIA7=0,0,LN_IIA9/LN_IIA7)</f>
        <v>0.27239394075033552</v>
      </c>
      <c r="E270" s="454">
        <f t="shared" si="26"/>
        <v>-5.6412092055009855E-3</v>
      </c>
      <c r="F270" s="458">
        <f t="shared" si="27"/>
        <v>-2.0289554059610963E-2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599046494</v>
      </c>
      <c r="D271" s="441">
        <f>LN_IIA1+LN_IIA7</f>
        <v>671695785</v>
      </c>
      <c r="E271" s="441">
        <f t="shared" si="26"/>
        <v>72649291</v>
      </c>
      <c r="F271" s="503">
        <f t="shared" si="27"/>
        <v>0.12127487887442673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181621706</v>
      </c>
      <c r="D272" s="441">
        <f>LN_IIA2+LN_IIA9</f>
        <v>187798616</v>
      </c>
      <c r="E272" s="441">
        <f t="shared" si="26"/>
        <v>6176910</v>
      </c>
      <c r="F272" s="503">
        <f t="shared" si="27"/>
        <v>3.4009756521062522E-2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0.30318465731643196</v>
      </c>
      <c r="D273" s="453">
        <f>IF(LN_IIA11=0,0,LN_IIA12/LN_IIA11)</f>
        <v>0.27958879628818872</v>
      </c>
      <c r="E273" s="454">
        <f t="shared" si="26"/>
        <v>-2.3595861028243237E-2</v>
      </c>
      <c r="F273" s="458">
        <f t="shared" si="27"/>
        <v>-7.782669887419924E-2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40692</v>
      </c>
      <c r="D274" s="508">
        <f>LN_IA8+LN_IB10+LN_IF11+LN_IG6</f>
        <v>44776</v>
      </c>
      <c r="E274" s="528">
        <f t="shared" si="26"/>
        <v>4084</v>
      </c>
      <c r="F274" s="458">
        <f t="shared" si="27"/>
        <v>0.10036370785412366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164911996</v>
      </c>
      <c r="D277" s="448">
        <f>LN_IA1+LN_IF1+LN_IG1</f>
        <v>184537277</v>
      </c>
      <c r="E277" s="448">
        <f t="shared" ref="E277:E291" si="28">D277-C277</f>
        <v>19625281</v>
      </c>
      <c r="F277" s="503">
        <f t="shared" ref="F277:F291" si="29">IF(C277=0,0,E277/C277)</f>
        <v>0.11900456895810053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49046139</v>
      </c>
      <c r="D278" s="448">
        <f>LN_IA2+LN_IF2+LN_IG2</f>
        <v>43807510</v>
      </c>
      <c r="E278" s="448">
        <f t="shared" si="28"/>
        <v>-5238629</v>
      </c>
      <c r="F278" s="503">
        <f t="shared" si="29"/>
        <v>-0.10681022210535268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0.29740795205704745</v>
      </c>
      <c r="D279" s="453">
        <f>IF(D277=0,0,LN_IIB2/D277)</f>
        <v>0.23739111529211521</v>
      </c>
      <c r="E279" s="454">
        <f t="shared" si="28"/>
        <v>-6.0016836764932247E-2</v>
      </c>
      <c r="F279" s="458">
        <f t="shared" si="29"/>
        <v>-0.20179970424402133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5698</v>
      </c>
      <c r="D280" s="456">
        <f>LN_IA4+LN_IF4+LN_IG3</f>
        <v>6107</v>
      </c>
      <c r="E280" s="456">
        <f t="shared" si="28"/>
        <v>409</v>
      </c>
      <c r="F280" s="503">
        <f t="shared" si="29"/>
        <v>7.1779571779571782E-2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1.2975559143559143</v>
      </c>
      <c r="D281" s="525">
        <f>IF(LN_IIB4=0,0,LN_IIB6/LN_IIB4)</f>
        <v>1.310207565089242</v>
      </c>
      <c r="E281" s="525">
        <f t="shared" si="28"/>
        <v>1.2651650733327635E-2</v>
      </c>
      <c r="F281" s="503">
        <f t="shared" si="29"/>
        <v>9.7503703642765251E-3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7393.4735999999994</v>
      </c>
      <c r="D282" s="463">
        <f>LN_IA6+LN_IF6+LN_IG5</f>
        <v>8001.4376000000011</v>
      </c>
      <c r="E282" s="463">
        <f t="shared" si="28"/>
        <v>607.96400000000176</v>
      </c>
      <c r="F282" s="503">
        <f t="shared" si="29"/>
        <v>8.2229819553288439E-2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227355046</v>
      </c>
      <c r="D283" s="448">
        <f>LN_IA11+LN_IF14+LN_IG9</f>
        <v>252809991</v>
      </c>
      <c r="E283" s="448">
        <f t="shared" si="28"/>
        <v>25454945</v>
      </c>
      <c r="F283" s="503">
        <f t="shared" si="29"/>
        <v>0.11196120538270349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1.3786446802814758</v>
      </c>
      <c r="D284" s="453">
        <f>IF(D277=0,0,LN_IIB7/D277)</f>
        <v>1.3699670609098671</v>
      </c>
      <c r="E284" s="454">
        <f t="shared" si="28"/>
        <v>-8.6776193716087135E-3</v>
      </c>
      <c r="F284" s="458">
        <f t="shared" si="29"/>
        <v>-6.2943117220290706E-3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44282260</v>
      </c>
      <c r="D285" s="448">
        <f>LN_IA12+LN_IF15+LN_IG10</f>
        <v>50113536</v>
      </c>
      <c r="E285" s="448">
        <f t="shared" si="28"/>
        <v>5831276</v>
      </c>
      <c r="F285" s="503">
        <f t="shared" si="29"/>
        <v>0.13168424556470243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0.19477139733243484</v>
      </c>
      <c r="D286" s="453">
        <f>IF(LN_IIB7=0,0,LN_IIB9/LN_IIB7)</f>
        <v>0.19822608988582258</v>
      </c>
      <c r="E286" s="454">
        <f t="shared" si="28"/>
        <v>3.4546925533877337E-3</v>
      </c>
      <c r="F286" s="458">
        <f t="shared" si="29"/>
        <v>1.7737165727117938E-2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392267042</v>
      </c>
      <c r="D287" s="441">
        <f>D277+LN_IIB7</f>
        <v>437347268</v>
      </c>
      <c r="E287" s="441">
        <f t="shared" si="28"/>
        <v>45080226</v>
      </c>
      <c r="F287" s="503">
        <f t="shared" si="29"/>
        <v>0.11492228806721927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93328399</v>
      </c>
      <c r="D288" s="441">
        <f>LN_IIB2+LN_IIB9</f>
        <v>93921046</v>
      </c>
      <c r="E288" s="441">
        <f t="shared" si="28"/>
        <v>592647</v>
      </c>
      <c r="F288" s="503">
        <f t="shared" si="29"/>
        <v>6.3501250032157947E-3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0.23792057197606725</v>
      </c>
      <c r="D289" s="453">
        <f>IF(LN_IIB11=0,0,LN_IIB12/LN_IIB11)</f>
        <v>0.21475164673945099</v>
      </c>
      <c r="E289" s="454">
        <f t="shared" si="28"/>
        <v>-2.3168925236616261E-2</v>
      </c>
      <c r="F289" s="458">
        <f t="shared" si="29"/>
        <v>-9.7380924416014161E-2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30001</v>
      </c>
      <c r="D290" s="508">
        <f>LN_IA8+LN_IF11+LN_IG6</f>
        <v>32319</v>
      </c>
      <c r="E290" s="528">
        <f t="shared" si="28"/>
        <v>2318</v>
      </c>
      <c r="F290" s="458">
        <f t="shared" si="29"/>
        <v>7.7264091196960108E-2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298938643</v>
      </c>
      <c r="D291" s="516">
        <f>LN_IIB11-LN_IIB12</f>
        <v>343426222</v>
      </c>
      <c r="E291" s="441">
        <f t="shared" si="28"/>
        <v>44487579</v>
      </c>
      <c r="F291" s="503">
        <f t="shared" si="29"/>
        <v>0.14881842826857283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5.5627796003578887</v>
      </c>
      <c r="D294" s="466">
        <f>IF(LN_IA4=0,0,LN_IA8/LN_IA4)</f>
        <v>5.8898158803222094</v>
      </c>
      <c r="E294" s="466">
        <f t="shared" ref="E294:E300" si="30">D294-C294</f>
        <v>0.32703627996432072</v>
      </c>
      <c r="F294" s="503">
        <f t="shared" ref="F294:F300" si="31">IF(C294=0,0,E294/C294)</f>
        <v>5.8790083997446244E-2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3.4398326898326896</v>
      </c>
      <c r="D295" s="466">
        <f>IF(LN_IB4=0,0,(LN_IB10)/(LN_IB4))</f>
        <v>3.8235113566605281</v>
      </c>
      <c r="E295" s="466">
        <f t="shared" si="30"/>
        <v>0.38367866682783847</v>
      </c>
      <c r="F295" s="503">
        <f t="shared" si="31"/>
        <v>0.11153992110194762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3.25</v>
      </c>
      <c r="D296" s="466">
        <f>IF(LN_IC4=0,0,LN_IC11/LN_IC4)</f>
        <v>4.6363636363636367</v>
      </c>
      <c r="E296" s="466">
        <f t="shared" si="30"/>
        <v>1.3863636363636367</v>
      </c>
      <c r="F296" s="503">
        <f t="shared" si="31"/>
        <v>0.42657342657342667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4.8391361833406785</v>
      </c>
      <c r="D297" s="466">
        <f>IF(LN_ID4=0,0,LN_ID11/LN_ID4)</f>
        <v>4.5139211136890953</v>
      </c>
      <c r="E297" s="466">
        <f t="shared" si="30"/>
        <v>-0.3252150696515832</v>
      </c>
      <c r="F297" s="503">
        <f t="shared" si="31"/>
        <v>-6.7205190622900035E-2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4.8552631578947372</v>
      </c>
      <c r="D299" s="466">
        <f>IF(LN_IG3=0,0,LN_IG6/LN_IG3)</f>
        <v>3.8444444444444446</v>
      </c>
      <c r="E299" s="466">
        <f t="shared" si="30"/>
        <v>-1.0108187134502926</v>
      </c>
      <c r="F299" s="503">
        <f t="shared" si="31"/>
        <v>-0.20819030412526351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4.6209402679990914</v>
      </c>
      <c r="D300" s="466">
        <f>IF(LN_IIA4=0,0,LN_IIA14/LN_IIA4)</f>
        <v>4.7812066203950883</v>
      </c>
      <c r="E300" s="466">
        <f t="shared" si="30"/>
        <v>0.16026635239599685</v>
      </c>
      <c r="F300" s="503">
        <f t="shared" si="31"/>
        <v>3.4682628015313778E-2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599046494</v>
      </c>
      <c r="D304" s="441">
        <f>LN_IIA11</f>
        <v>671695785</v>
      </c>
      <c r="E304" s="441">
        <f t="shared" ref="E304:E316" si="32">D304-C304</f>
        <v>72649291</v>
      </c>
      <c r="F304" s="449">
        <f>IF(C304=0,0,E304/C304)</f>
        <v>0.12127487887442673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298938643</v>
      </c>
      <c r="D305" s="441">
        <f>LN_IIB14</f>
        <v>343426222</v>
      </c>
      <c r="E305" s="441">
        <f t="shared" si="32"/>
        <v>44487579</v>
      </c>
      <c r="F305" s="449">
        <f>IF(C305=0,0,E305/C305)</f>
        <v>0.14881842826857283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8360108</v>
      </c>
      <c r="D306" s="441">
        <f>LN_IH6</f>
        <v>12959393</v>
      </c>
      <c r="E306" s="441">
        <f t="shared" si="32"/>
        <v>4599285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118486145</v>
      </c>
      <c r="D307" s="441">
        <f>LN_IB32-LN_IB33</f>
        <v>128657373</v>
      </c>
      <c r="E307" s="441">
        <f t="shared" si="32"/>
        <v>10171228</v>
      </c>
      <c r="F307" s="449">
        <f t="shared" ref="F307:F316" si="33">IF(C307=0,0,E307/C307)</f>
        <v>8.5843184449962487E-2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425784896</v>
      </c>
      <c r="D309" s="441">
        <f>LN_III2+LN_III3+LN_III4+LN_III5</f>
        <v>485042988</v>
      </c>
      <c r="E309" s="441">
        <f t="shared" si="32"/>
        <v>59258092</v>
      </c>
      <c r="F309" s="449">
        <f t="shared" si="33"/>
        <v>0.13917377661043195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173261598</v>
      </c>
      <c r="D310" s="441">
        <f>LN_III1-LN_III6</f>
        <v>186652797</v>
      </c>
      <c r="E310" s="441">
        <f t="shared" si="32"/>
        <v>13391199</v>
      </c>
      <c r="F310" s="449">
        <f t="shared" si="33"/>
        <v>7.7288903915107607E-2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173261598</v>
      </c>
      <c r="D312" s="441">
        <f>LN_III7+LN_III8</f>
        <v>186652797</v>
      </c>
      <c r="E312" s="441">
        <f t="shared" si="32"/>
        <v>13391199</v>
      </c>
      <c r="F312" s="449">
        <f t="shared" si="33"/>
        <v>7.7288903915107607E-2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0.28922896592397052</v>
      </c>
      <c r="D313" s="532">
        <f>IF(LN_III1=0,0,LN_III9/LN_III1)</f>
        <v>0.27788293624620558</v>
      </c>
      <c r="E313" s="532">
        <f t="shared" si="32"/>
        <v>-1.1346029677764935E-2</v>
      </c>
      <c r="F313" s="449">
        <f t="shared" si="33"/>
        <v>-3.9228538682212974E-2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2417985.3918527132</v>
      </c>
      <c r="D314" s="441">
        <f>D313*LN_III5</f>
        <v>3601194.1788085229</v>
      </c>
      <c r="E314" s="441">
        <f t="shared" si="32"/>
        <v>1183208.7869558097</v>
      </c>
      <c r="F314" s="449">
        <f t="shared" si="33"/>
        <v>0.489336615077401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8752848.0984804183</v>
      </c>
      <c r="D315" s="441">
        <f>D313*LN_IH8-LN_IH9</f>
        <v>10117289.081157081</v>
      </c>
      <c r="E315" s="441">
        <f t="shared" si="32"/>
        <v>1364440.9826766625</v>
      </c>
      <c r="F315" s="449">
        <f t="shared" si="33"/>
        <v>0.15588537208974793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11170833.490333132</v>
      </c>
      <c r="D318" s="441">
        <f>D314+D315+D316</f>
        <v>13718483.259965604</v>
      </c>
      <c r="E318" s="441">
        <f>D318-C318</f>
        <v>2547649.7696324717</v>
      </c>
      <c r="F318" s="449">
        <f>IF(C318=0,0,E318/C318)</f>
        <v>0.22806263935785304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13094582.718020679</v>
      </c>
      <c r="D322" s="441">
        <f>LN_ID22</f>
        <v>14269257.803943854</v>
      </c>
      <c r="E322" s="441">
        <f>LN_IV2-C322</f>
        <v>1174675.0859231744</v>
      </c>
      <c r="F322" s="449">
        <f>IF(C322=0,0,E322/C322)</f>
        <v>8.9706950669500463E-2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2763461.0601885347</v>
      </c>
      <c r="D324" s="441">
        <f>LN_IC10+LN_IC22</f>
        <v>3031197.0291869082</v>
      </c>
      <c r="E324" s="441">
        <f>LN_IV1-C324</f>
        <v>267735.96899837349</v>
      </c>
      <c r="F324" s="449">
        <f>IF(C324=0,0,E324/C324)</f>
        <v>9.6884292257806384E-2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15858043.778209213</v>
      </c>
      <c r="D325" s="516">
        <f>LN_IV1+LN_IV2+LN_IV3</f>
        <v>17300454.833130762</v>
      </c>
      <c r="E325" s="441">
        <f>LN_IV4-C325</f>
        <v>1442411.0549215488</v>
      </c>
      <c r="F325" s="449">
        <f>IF(C325=0,0,E325/C325)</f>
        <v>9.0957691572499527E-2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-5329253</v>
      </c>
      <c r="D330" s="516">
        <v>-7334339</v>
      </c>
      <c r="E330" s="518">
        <f t="shared" si="34"/>
        <v>-2005086</v>
      </c>
      <c r="F330" s="543">
        <f t="shared" si="35"/>
        <v>0.37624147324212232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176292453</v>
      </c>
      <c r="D331" s="516">
        <v>180464287</v>
      </c>
      <c r="E331" s="518">
        <f t="shared" si="34"/>
        <v>4171834</v>
      </c>
      <c r="F331" s="542">
        <f t="shared" si="35"/>
        <v>2.3664280171993523E-2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599046493</v>
      </c>
      <c r="D333" s="516">
        <v>671695786</v>
      </c>
      <c r="E333" s="518">
        <f t="shared" si="34"/>
        <v>72649293</v>
      </c>
      <c r="F333" s="542">
        <f t="shared" si="35"/>
        <v>0.12127488241551228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8360108</v>
      </c>
      <c r="D335" s="516">
        <v>12959393</v>
      </c>
      <c r="E335" s="516">
        <f t="shared" si="34"/>
        <v>4599285</v>
      </c>
      <c r="F335" s="542">
        <f t="shared" si="35"/>
        <v>0.55014660097692514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81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37" sqref="B37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55023979</v>
      </c>
      <c r="D14" s="589">
        <v>64112332</v>
      </c>
      <c r="E14" s="590">
        <f t="shared" ref="E14:E22" si="0">D14-C14</f>
        <v>9088353</v>
      </c>
    </row>
    <row r="15" spans="1:5" s="421" customFormat="1" x14ac:dyDescent="0.2">
      <c r="A15" s="588">
        <v>2</v>
      </c>
      <c r="B15" s="587" t="s">
        <v>636</v>
      </c>
      <c r="C15" s="589">
        <v>117408412</v>
      </c>
      <c r="D15" s="591">
        <v>129574441</v>
      </c>
      <c r="E15" s="590">
        <f t="shared" si="0"/>
        <v>12166029</v>
      </c>
    </row>
    <row r="16" spans="1:5" s="421" customFormat="1" x14ac:dyDescent="0.2">
      <c r="A16" s="588">
        <v>3</v>
      </c>
      <c r="B16" s="587" t="s">
        <v>778</v>
      </c>
      <c r="C16" s="589">
        <v>45897932</v>
      </c>
      <c r="D16" s="591">
        <v>53860591</v>
      </c>
      <c r="E16" s="590">
        <f t="shared" si="0"/>
        <v>7962659</v>
      </c>
    </row>
    <row r="17" spans="1:5" s="421" customFormat="1" x14ac:dyDescent="0.2">
      <c r="A17" s="588">
        <v>4</v>
      </c>
      <c r="B17" s="587" t="s">
        <v>115</v>
      </c>
      <c r="C17" s="589">
        <v>45897932</v>
      </c>
      <c r="D17" s="591">
        <v>53860591</v>
      </c>
      <c r="E17" s="590">
        <f t="shared" si="0"/>
        <v>7962659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1605652</v>
      </c>
      <c r="D19" s="591">
        <v>1102245</v>
      </c>
      <c r="E19" s="590">
        <f t="shared" si="0"/>
        <v>-503407</v>
      </c>
    </row>
    <row r="20" spans="1:5" s="421" customFormat="1" x14ac:dyDescent="0.2">
      <c r="A20" s="588">
        <v>7</v>
      </c>
      <c r="B20" s="587" t="s">
        <v>759</v>
      </c>
      <c r="C20" s="589">
        <v>1236061</v>
      </c>
      <c r="D20" s="591">
        <v>1860366</v>
      </c>
      <c r="E20" s="590">
        <f t="shared" si="0"/>
        <v>624305</v>
      </c>
    </row>
    <row r="21" spans="1:5" s="421" customFormat="1" x14ac:dyDescent="0.2">
      <c r="A21" s="588"/>
      <c r="B21" s="592" t="s">
        <v>779</v>
      </c>
      <c r="C21" s="593">
        <f>SUM(C15+C16+C19)</f>
        <v>164911996</v>
      </c>
      <c r="D21" s="593">
        <f>SUM(D15+D16+D19)</f>
        <v>184537277</v>
      </c>
      <c r="E21" s="593">
        <f t="shared" si="0"/>
        <v>19625281</v>
      </c>
    </row>
    <row r="22" spans="1:5" s="421" customFormat="1" x14ac:dyDescent="0.2">
      <c r="A22" s="588"/>
      <c r="B22" s="592" t="s">
        <v>465</v>
      </c>
      <c r="C22" s="593">
        <f>SUM(C14+C21)</f>
        <v>219935975</v>
      </c>
      <c r="D22" s="593">
        <f>SUM(D14+D21)</f>
        <v>248649609</v>
      </c>
      <c r="E22" s="593">
        <f t="shared" si="0"/>
        <v>28713634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151755473</v>
      </c>
      <c r="D25" s="589">
        <v>170236185</v>
      </c>
      <c r="E25" s="590">
        <f t="shared" ref="E25:E33" si="1">D25-C25</f>
        <v>18480712</v>
      </c>
    </row>
    <row r="26" spans="1:5" s="421" customFormat="1" x14ac:dyDescent="0.2">
      <c r="A26" s="588">
        <v>2</v>
      </c>
      <c r="B26" s="587" t="s">
        <v>636</v>
      </c>
      <c r="C26" s="589">
        <v>139661667</v>
      </c>
      <c r="D26" s="591">
        <v>158127232</v>
      </c>
      <c r="E26" s="590">
        <f t="shared" si="1"/>
        <v>18465565</v>
      </c>
    </row>
    <row r="27" spans="1:5" s="421" customFormat="1" x14ac:dyDescent="0.2">
      <c r="A27" s="588">
        <v>3</v>
      </c>
      <c r="B27" s="587" t="s">
        <v>778</v>
      </c>
      <c r="C27" s="589">
        <v>85970911</v>
      </c>
      <c r="D27" s="591">
        <v>92970433</v>
      </c>
      <c r="E27" s="590">
        <f t="shared" si="1"/>
        <v>6999522</v>
      </c>
    </row>
    <row r="28" spans="1:5" s="421" customFormat="1" x14ac:dyDescent="0.2">
      <c r="A28" s="588">
        <v>4</v>
      </c>
      <c r="B28" s="587" t="s">
        <v>115</v>
      </c>
      <c r="C28" s="589">
        <v>85970911</v>
      </c>
      <c r="D28" s="591">
        <v>92970433</v>
      </c>
      <c r="E28" s="590">
        <f t="shared" si="1"/>
        <v>6999522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1722468</v>
      </c>
      <c r="D30" s="591">
        <v>1712326</v>
      </c>
      <c r="E30" s="590">
        <f t="shared" si="1"/>
        <v>-10142</v>
      </c>
    </row>
    <row r="31" spans="1:5" s="421" customFormat="1" x14ac:dyDescent="0.2">
      <c r="A31" s="588">
        <v>7</v>
      </c>
      <c r="B31" s="587" t="s">
        <v>759</v>
      </c>
      <c r="C31" s="590">
        <v>7304045</v>
      </c>
      <c r="D31" s="594">
        <v>8303646</v>
      </c>
      <c r="E31" s="590">
        <f t="shared" si="1"/>
        <v>999601</v>
      </c>
    </row>
    <row r="32" spans="1:5" s="421" customFormat="1" x14ac:dyDescent="0.2">
      <c r="A32" s="588"/>
      <c r="B32" s="592" t="s">
        <v>781</v>
      </c>
      <c r="C32" s="593">
        <f>SUM(C26+C27+C30)</f>
        <v>227355046</v>
      </c>
      <c r="D32" s="593">
        <f>SUM(D26+D27+D30)</f>
        <v>252809991</v>
      </c>
      <c r="E32" s="593">
        <f t="shared" si="1"/>
        <v>25454945</v>
      </c>
    </row>
    <row r="33" spans="1:5" s="421" customFormat="1" x14ac:dyDescent="0.2">
      <c r="A33" s="588"/>
      <c r="B33" s="592" t="s">
        <v>467</v>
      </c>
      <c r="C33" s="593">
        <f>SUM(C25+C32)</f>
        <v>379110519</v>
      </c>
      <c r="D33" s="593">
        <f>SUM(D25+D32)</f>
        <v>423046176</v>
      </c>
      <c r="E33" s="593">
        <f t="shared" si="1"/>
        <v>43935657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206779452</v>
      </c>
      <c r="D36" s="590">
        <f t="shared" si="2"/>
        <v>234348517</v>
      </c>
      <c r="E36" s="590">
        <f t="shared" ref="E36:E44" si="3">D36-C36</f>
        <v>27569065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257070079</v>
      </c>
      <c r="D37" s="590">
        <f t="shared" si="2"/>
        <v>287701673</v>
      </c>
      <c r="E37" s="590">
        <f t="shared" si="3"/>
        <v>30631594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131868843</v>
      </c>
      <c r="D38" s="590">
        <f t="shared" si="2"/>
        <v>146831024</v>
      </c>
      <c r="E38" s="590">
        <f t="shared" si="3"/>
        <v>14962181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131868843</v>
      </c>
      <c r="D39" s="590">
        <f t="shared" si="2"/>
        <v>146831024</v>
      </c>
      <c r="E39" s="590">
        <f t="shared" si="3"/>
        <v>14962181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3328120</v>
      </c>
      <c r="D41" s="590">
        <f t="shared" si="2"/>
        <v>2814571</v>
      </c>
      <c r="E41" s="590">
        <f t="shared" si="3"/>
        <v>-513549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8540106</v>
      </c>
      <c r="D42" s="590">
        <f t="shared" si="2"/>
        <v>10164012</v>
      </c>
      <c r="E42" s="590">
        <f t="shared" si="3"/>
        <v>1623906</v>
      </c>
    </row>
    <row r="43" spans="1:5" s="421" customFormat="1" x14ac:dyDescent="0.2">
      <c r="A43" s="588"/>
      <c r="B43" s="592" t="s">
        <v>789</v>
      </c>
      <c r="C43" s="593">
        <f>SUM(C37+C38+C41)</f>
        <v>392267042</v>
      </c>
      <c r="D43" s="593">
        <f>SUM(D37+D38+D41)</f>
        <v>437347268</v>
      </c>
      <c r="E43" s="593">
        <f t="shared" si="3"/>
        <v>45080226</v>
      </c>
    </row>
    <row r="44" spans="1:5" s="421" customFormat="1" x14ac:dyDescent="0.2">
      <c r="A44" s="588"/>
      <c r="B44" s="592" t="s">
        <v>726</v>
      </c>
      <c r="C44" s="593">
        <f>SUM(C36+C43)</f>
        <v>599046494</v>
      </c>
      <c r="D44" s="593">
        <f>SUM(D36+D43)</f>
        <v>671695785</v>
      </c>
      <c r="E44" s="593">
        <f t="shared" si="3"/>
        <v>72649291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27169517</v>
      </c>
      <c r="D47" s="589">
        <v>28755891</v>
      </c>
      <c r="E47" s="590">
        <f t="shared" ref="E47:E55" si="4">D47-C47</f>
        <v>1586374</v>
      </c>
    </row>
    <row r="48" spans="1:5" s="421" customFormat="1" x14ac:dyDescent="0.2">
      <c r="A48" s="588">
        <v>2</v>
      </c>
      <c r="B48" s="587" t="s">
        <v>636</v>
      </c>
      <c r="C48" s="589">
        <v>35626977</v>
      </c>
      <c r="D48" s="591">
        <v>31207602</v>
      </c>
      <c r="E48" s="590">
        <f t="shared" si="4"/>
        <v>-4419375</v>
      </c>
    </row>
    <row r="49" spans="1:5" s="421" customFormat="1" x14ac:dyDescent="0.2">
      <c r="A49" s="588">
        <v>3</v>
      </c>
      <c r="B49" s="587" t="s">
        <v>778</v>
      </c>
      <c r="C49" s="589">
        <v>13073310</v>
      </c>
      <c r="D49" s="591">
        <v>12202801</v>
      </c>
      <c r="E49" s="590">
        <f t="shared" si="4"/>
        <v>-870509</v>
      </c>
    </row>
    <row r="50" spans="1:5" s="421" customFormat="1" x14ac:dyDescent="0.2">
      <c r="A50" s="588">
        <v>4</v>
      </c>
      <c r="B50" s="587" t="s">
        <v>115</v>
      </c>
      <c r="C50" s="589">
        <v>13073310</v>
      </c>
      <c r="D50" s="591">
        <v>12202801</v>
      </c>
      <c r="E50" s="590">
        <f t="shared" si="4"/>
        <v>-870509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345852</v>
      </c>
      <c r="D52" s="591">
        <v>397107</v>
      </c>
      <c r="E52" s="590">
        <f t="shared" si="4"/>
        <v>51255</v>
      </c>
    </row>
    <row r="53" spans="1:5" s="421" customFormat="1" x14ac:dyDescent="0.2">
      <c r="A53" s="588">
        <v>7</v>
      </c>
      <c r="B53" s="587" t="s">
        <v>759</v>
      </c>
      <c r="C53" s="589">
        <v>43966</v>
      </c>
      <c r="D53" s="591">
        <v>0</v>
      </c>
      <c r="E53" s="590">
        <f t="shared" si="4"/>
        <v>-43966</v>
      </c>
    </row>
    <row r="54" spans="1:5" s="421" customFormat="1" x14ac:dyDescent="0.2">
      <c r="A54" s="588"/>
      <c r="B54" s="592" t="s">
        <v>791</v>
      </c>
      <c r="C54" s="593">
        <f>SUM(C48+C49+C52)</f>
        <v>49046139</v>
      </c>
      <c r="D54" s="593">
        <f>SUM(D48+D49+D52)</f>
        <v>43807510</v>
      </c>
      <c r="E54" s="593">
        <f t="shared" si="4"/>
        <v>-5238629</v>
      </c>
    </row>
    <row r="55" spans="1:5" s="421" customFormat="1" x14ac:dyDescent="0.2">
      <c r="A55" s="588"/>
      <c r="B55" s="592" t="s">
        <v>466</v>
      </c>
      <c r="C55" s="593">
        <f>SUM(C47+C54)</f>
        <v>76215656</v>
      </c>
      <c r="D55" s="593">
        <f>SUM(D47+D54)</f>
        <v>72563401</v>
      </c>
      <c r="E55" s="593">
        <f t="shared" si="4"/>
        <v>-3652255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61123790</v>
      </c>
      <c r="D58" s="589">
        <v>65121679</v>
      </c>
      <c r="E58" s="590">
        <f t="shared" ref="E58:E66" si="5">D58-C58</f>
        <v>3997889</v>
      </c>
    </row>
    <row r="59" spans="1:5" s="421" customFormat="1" x14ac:dyDescent="0.2">
      <c r="A59" s="588">
        <v>2</v>
      </c>
      <c r="B59" s="587" t="s">
        <v>636</v>
      </c>
      <c r="C59" s="589">
        <v>27599085</v>
      </c>
      <c r="D59" s="591">
        <v>31123573</v>
      </c>
      <c r="E59" s="590">
        <f t="shared" si="5"/>
        <v>3524488</v>
      </c>
    </row>
    <row r="60" spans="1:5" s="421" customFormat="1" x14ac:dyDescent="0.2">
      <c r="A60" s="588">
        <v>3</v>
      </c>
      <c r="B60" s="587" t="s">
        <v>778</v>
      </c>
      <c r="C60" s="589">
        <f>C61+C62</f>
        <v>16314131</v>
      </c>
      <c r="D60" s="591">
        <f>D61+D62</f>
        <v>18481746</v>
      </c>
      <c r="E60" s="590">
        <f t="shared" si="5"/>
        <v>2167615</v>
      </c>
    </row>
    <row r="61" spans="1:5" s="421" customFormat="1" x14ac:dyDescent="0.2">
      <c r="A61" s="588">
        <v>4</v>
      </c>
      <c r="B61" s="587" t="s">
        <v>115</v>
      </c>
      <c r="C61" s="589">
        <v>16314131</v>
      </c>
      <c r="D61" s="591">
        <v>18481746</v>
      </c>
      <c r="E61" s="590">
        <f t="shared" si="5"/>
        <v>2167615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369044</v>
      </c>
      <c r="D63" s="591">
        <v>508217</v>
      </c>
      <c r="E63" s="590">
        <f t="shared" si="5"/>
        <v>139173</v>
      </c>
    </row>
    <row r="64" spans="1:5" s="421" customFormat="1" x14ac:dyDescent="0.2">
      <c r="A64" s="588">
        <v>7</v>
      </c>
      <c r="B64" s="587" t="s">
        <v>759</v>
      </c>
      <c r="C64" s="589">
        <v>305620</v>
      </c>
      <c r="D64" s="591">
        <v>0</v>
      </c>
      <c r="E64" s="590">
        <f t="shared" si="5"/>
        <v>-305620</v>
      </c>
    </row>
    <row r="65" spans="1:5" s="421" customFormat="1" x14ac:dyDescent="0.2">
      <c r="A65" s="588"/>
      <c r="B65" s="592" t="s">
        <v>793</v>
      </c>
      <c r="C65" s="593">
        <f>SUM(C59+C60+C63)</f>
        <v>44282260</v>
      </c>
      <c r="D65" s="593">
        <f>SUM(D59+D60+D63)</f>
        <v>50113536</v>
      </c>
      <c r="E65" s="593">
        <f t="shared" si="5"/>
        <v>5831276</v>
      </c>
    </row>
    <row r="66" spans="1:5" s="421" customFormat="1" x14ac:dyDescent="0.2">
      <c r="A66" s="588"/>
      <c r="B66" s="592" t="s">
        <v>468</v>
      </c>
      <c r="C66" s="593">
        <f>SUM(C58+C65)</f>
        <v>105406050</v>
      </c>
      <c r="D66" s="593">
        <f>SUM(D58+D65)</f>
        <v>115235215</v>
      </c>
      <c r="E66" s="593">
        <f t="shared" si="5"/>
        <v>9829165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88293307</v>
      </c>
      <c r="D69" s="590">
        <f t="shared" si="6"/>
        <v>93877570</v>
      </c>
      <c r="E69" s="590">
        <f t="shared" ref="E69:E77" si="7">D69-C69</f>
        <v>5584263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63226062</v>
      </c>
      <c r="D70" s="590">
        <f t="shared" si="6"/>
        <v>62331175</v>
      </c>
      <c r="E70" s="590">
        <f t="shared" si="7"/>
        <v>-894887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29387441</v>
      </c>
      <c r="D71" s="590">
        <f t="shared" si="6"/>
        <v>30684547</v>
      </c>
      <c r="E71" s="590">
        <f t="shared" si="7"/>
        <v>1297106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29387441</v>
      </c>
      <c r="D72" s="590">
        <f t="shared" si="6"/>
        <v>30684547</v>
      </c>
      <c r="E72" s="590">
        <f t="shared" si="7"/>
        <v>1297106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714896</v>
      </c>
      <c r="D74" s="590">
        <f t="shared" si="6"/>
        <v>905324</v>
      </c>
      <c r="E74" s="590">
        <f t="shared" si="7"/>
        <v>190428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349586</v>
      </c>
      <c r="D75" s="590">
        <f t="shared" si="6"/>
        <v>0</v>
      </c>
      <c r="E75" s="590">
        <f t="shared" si="7"/>
        <v>-349586</v>
      </c>
    </row>
    <row r="76" spans="1:5" s="421" customFormat="1" x14ac:dyDescent="0.2">
      <c r="A76" s="588"/>
      <c r="B76" s="592" t="s">
        <v>794</v>
      </c>
      <c r="C76" s="593">
        <f>SUM(C70+C71+C74)</f>
        <v>93328399</v>
      </c>
      <c r="D76" s="593">
        <f>SUM(D70+D71+D74)</f>
        <v>93921046</v>
      </c>
      <c r="E76" s="593">
        <f t="shared" si="7"/>
        <v>592647</v>
      </c>
    </row>
    <row r="77" spans="1:5" s="421" customFormat="1" x14ac:dyDescent="0.2">
      <c r="A77" s="588"/>
      <c r="B77" s="592" t="s">
        <v>727</v>
      </c>
      <c r="C77" s="593">
        <f>SUM(C69+C76)</f>
        <v>181621706</v>
      </c>
      <c r="D77" s="593">
        <f>SUM(D69+D76)</f>
        <v>187798616</v>
      </c>
      <c r="E77" s="593">
        <f t="shared" si="7"/>
        <v>6176910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9.1852601678026016E-2</v>
      </c>
      <c r="D83" s="599">
        <f t="shared" si="8"/>
        <v>9.5448465557960882E-2</v>
      </c>
      <c r="E83" s="599">
        <f t="shared" ref="E83:E91" si="9">D83-C83</f>
        <v>3.5958638799348658E-3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0.1959921528227824</v>
      </c>
      <c r="D84" s="599">
        <f t="shared" si="8"/>
        <v>0.192906437547468</v>
      </c>
      <c r="E84" s="599">
        <f t="shared" si="9"/>
        <v>-3.085715275314399E-3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7.6618313369178986E-2</v>
      </c>
      <c r="D85" s="599">
        <f t="shared" si="8"/>
        <v>8.0185989257026524E-2</v>
      </c>
      <c r="E85" s="599">
        <f t="shared" si="9"/>
        <v>3.5676758878475379E-3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7.6618313369178986E-2</v>
      </c>
      <c r="D86" s="599">
        <f t="shared" si="8"/>
        <v>8.0185989257026524E-2</v>
      </c>
      <c r="E86" s="599">
        <f t="shared" si="9"/>
        <v>3.5676758878475379E-3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2.6803462103226999E-3</v>
      </c>
      <c r="D88" s="599">
        <f t="shared" si="8"/>
        <v>1.6409884126338532E-3</v>
      </c>
      <c r="E88" s="599">
        <f t="shared" si="9"/>
        <v>-1.0393577976888467E-3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2.0633807431982066E-3</v>
      </c>
      <c r="D89" s="599">
        <f t="shared" si="8"/>
        <v>2.7696556112824199E-3</v>
      </c>
      <c r="E89" s="599">
        <f t="shared" si="9"/>
        <v>7.0627486808421324E-4</v>
      </c>
    </row>
    <row r="90" spans="1:5" s="421" customFormat="1" x14ac:dyDescent="0.2">
      <c r="A90" s="588"/>
      <c r="B90" s="592" t="s">
        <v>797</v>
      </c>
      <c r="C90" s="600">
        <f>SUM(C84+C85+C88)</f>
        <v>0.27529081240228409</v>
      </c>
      <c r="D90" s="600">
        <f>SUM(D84+D85+D88)</f>
        <v>0.27473341521712835</v>
      </c>
      <c r="E90" s="601">
        <f t="shared" si="9"/>
        <v>-5.5739718515573911E-4</v>
      </c>
    </row>
    <row r="91" spans="1:5" s="421" customFormat="1" x14ac:dyDescent="0.2">
      <c r="A91" s="588"/>
      <c r="B91" s="592" t="s">
        <v>798</v>
      </c>
      <c r="C91" s="600">
        <f>SUM(C83+C90)</f>
        <v>0.36714341408031009</v>
      </c>
      <c r="D91" s="600">
        <f>SUM(D83+D90)</f>
        <v>0.37018188077508923</v>
      </c>
      <c r="E91" s="601">
        <f t="shared" si="9"/>
        <v>3.0384666947791406E-3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0.25332837187091523</v>
      </c>
      <c r="D95" s="599">
        <f t="shared" si="10"/>
        <v>0.25344238984617123</v>
      </c>
      <c r="E95" s="599">
        <f t="shared" ref="E95:E103" si="11">D95-C95</f>
        <v>1.1401797525600887E-4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0.23313994556155435</v>
      </c>
      <c r="D96" s="599">
        <f t="shared" si="10"/>
        <v>0.23541495351202776</v>
      </c>
      <c r="E96" s="599">
        <f t="shared" si="11"/>
        <v>2.2750079504734178E-3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0.14351291904898453</v>
      </c>
      <c r="D97" s="599">
        <f t="shared" si="10"/>
        <v>0.1384115176485736</v>
      </c>
      <c r="E97" s="599">
        <f t="shared" si="11"/>
        <v>-5.101401400410932E-3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0.14351291904898453</v>
      </c>
      <c r="D98" s="599">
        <f t="shared" si="10"/>
        <v>0.1384115176485736</v>
      </c>
      <c r="E98" s="599">
        <f t="shared" si="11"/>
        <v>-5.101401400410932E-3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2.8753494382357573E-3</v>
      </c>
      <c r="D100" s="599">
        <f t="shared" si="10"/>
        <v>2.5492582181381412E-3</v>
      </c>
      <c r="E100" s="599">
        <f t="shared" si="11"/>
        <v>-3.2609122009761606E-4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1.2192784822474897E-2</v>
      </c>
      <c r="D101" s="599">
        <f t="shared" si="10"/>
        <v>1.2362212456045112E-2</v>
      </c>
      <c r="E101" s="599">
        <f t="shared" si="11"/>
        <v>1.6942763357021516E-4</v>
      </c>
    </row>
    <row r="102" spans="1:5" s="421" customFormat="1" x14ac:dyDescent="0.2">
      <c r="A102" s="588"/>
      <c r="B102" s="592" t="s">
        <v>800</v>
      </c>
      <c r="C102" s="600">
        <f>SUM(C96+C97+C100)</f>
        <v>0.37952821404877463</v>
      </c>
      <c r="D102" s="600">
        <f>SUM(D96+D97+D100)</f>
        <v>0.37637572937873948</v>
      </c>
      <c r="E102" s="601">
        <f t="shared" si="11"/>
        <v>-3.1524846700351494E-3</v>
      </c>
    </row>
    <row r="103" spans="1:5" s="421" customFormat="1" x14ac:dyDescent="0.2">
      <c r="A103" s="588"/>
      <c r="B103" s="592" t="s">
        <v>801</v>
      </c>
      <c r="C103" s="600">
        <f>SUM(C95+C102)</f>
        <v>0.63285658591968985</v>
      </c>
      <c r="D103" s="600">
        <f>SUM(D95+D102)</f>
        <v>0.62981811922491071</v>
      </c>
      <c r="E103" s="601">
        <f t="shared" si="11"/>
        <v>-3.0384666947791406E-3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0.14959399731659828</v>
      </c>
      <c r="D109" s="599">
        <f t="shared" si="12"/>
        <v>0.1531208888142179</v>
      </c>
      <c r="E109" s="599">
        <f t="shared" ref="E109:E117" si="13">D109-C109</f>
        <v>3.5268914976196164E-3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0.19616034770645752</v>
      </c>
      <c r="D110" s="599">
        <f t="shared" si="12"/>
        <v>0.16617588917694687</v>
      </c>
      <c r="E110" s="599">
        <f t="shared" si="13"/>
        <v>-2.9984458529510649E-2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7.1980988880260818E-2</v>
      </c>
      <c r="D111" s="599">
        <f t="shared" si="12"/>
        <v>6.4978119966549702E-2</v>
      </c>
      <c r="E111" s="599">
        <f t="shared" si="13"/>
        <v>-7.0028689137111161E-3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7.1980988880260818E-2</v>
      </c>
      <c r="D112" s="599">
        <f t="shared" si="12"/>
        <v>6.4978119966549702E-2</v>
      </c>
      <c r="E112" s="599">
        <f t="shared" si="13"/>
        <v>-7.0028689137111161E-3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1.9042437581772301E-3</v>
      </c>
      <c r="D114" s="599">
        <f t="shared" si="12"/>
        <v>2.1145363499377439E-3</v>
      </c>
      <c r="E114" s="599">
        <f t="shared" si="13"/>
        <v>2.102925917605138E-4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2.4207458991713248E-4</v>
      </c>
      <c r="D115" s="599">
        <f t="shared" si="12"/>
        <v>0</v>
      </c>
      <c r="E115" s="599">
        <f t="shared" si="13"/>
        <v>-2.4207458991713248E-4</v>
      </c>
    </row>
    <row r="116" spans="1:5" s="421" customFormat="1" x14ac:dyDescent="0.2">
      <c r="A116" s="588"/>
      <c r="B116" s="592" t="s">
        <v>797</v>
      </c>
      <c r="C116" s="600">
        <f>SUM(C110+C111+C114)</f>
        <v>0.27004558034489556</v>
      </c>
      <c r="D116" s="600">
        <f>SUM(D110+D111+D114)</f>
        <v>0.23326854549343431</v>
      </c>
      <c r="E116" s="601">
        <f t="shared" si="13"/>
        <v>-3.6777034851461249E-2</v>
      </c>
    </row>
    <row r="117" spans="1:5" s="421" customFormat="1" x14ac:dyDescent="0.2">
      <c r="A117" s="588"/>
      <c r="B117" s="592" t="s">
        <v>798</v>
      </c>
      <c r="C117" s="600">
        <f>SUM(C109+C116)</f>
        <v>0.41963957766149385</v>
      </c>
      <c r="D117" s="600">
        <f>SUM(D109+D116)</f>
        <v>0.38638943430765221</v>
      </c>
      <c r="E117" s="601">
        <f t="shared" si="13"/>
        <v>-3.3250143353841632E-2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0.33654452073035807</v>
      </c>
      <c r="D121" s="599">
        <f t="shared" si="14"/>
        <v>0.34676335953402343</v>
      </c>
      <c r="E121" s="599">
        <f t="shared" ref="E121:E129" si="15">D121-C121</f>
        <v>1.0218838803665364E-2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0.15195917717015608</v>
      </c>
      <c r="D122" s="599">
        <f t="shared" si="14"/>
        <v>0.16572844711486054</v>
      </c>
      <c r="E122" s="599">
        <f t="shared" si="15"/>
        <v>1.3769269944704454E-2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8.9824786691520234E-2</v>
      </c>
      <c r="D123" s="599">
        <f t="shared" si="14"/>
        <v>9.8412578290779304E-2</v>
      </c>
      <c r="E123" s="599">
        <f t="shared" si="15"/>
        <v>8.5877915992590703E-3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8.9824786691520234E-2</v>
      </c>
      <c r="D124" s="599">
        <f t="shared" si="14"/>
        <v>9.8412578290779304E-2</v>
      </c>
      <c r="E124" s="599">
        <f t="shared" si="15"/>
        <v>8.5877915992590703E-3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2.0319377464717791E-3</v>
      </c>
      <c r="D126" s="599">
        <f t="shared" si="14"/>
        <v>2.7061807526845673E-3</v>
      </c>
      <c r="E126" s="599">
        <f t="shared" si="15"/>
        <v>6.7424300621278825E-4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1.6827283848991044E-3</v>
      </c>
      <c r="D127" s="599">
        <f t="shared" si="14"/>
        <v>0</v>
      </c>
      <c r="E127" s="599">
        <f t="shared" si="15"/>
        <v>-1.6827283848991044E-3</v>
      </c>
    </row>
    <row r="128" spans="1:5" s="421" customFormat="1" x14ac:dyDescent="0.2">
      <c r="A128" s="588"/>
      <c r="B128" s="592" t="s">
        <v>800</v>
      </c>
      <c r="C128" s="600">
        <f>SUM(C122+C123+C126)</f>
        <v>0.24381590160814812</v>
      </c>
      <c r="D128" s="600">
        <f>SUM(D122+D123+D126)</f>
        <v>0.26684720615832441</v>
      </c>
      <c r="E128" s="601">
        <f t="shared" si="15"/>
        <v>2.3031304550176296E-2</v>
      </c>
    </row>
    <row r="129" spans="1:5" s="421" customFormat="1" x14ac:dyDescent="0.2">
      <c r="A129" s="588"/>
      <c r="B129" s="592" t="s">
        <v>801</v>
      </c>
      <c r="C129" s="600">
        <f>SUM(C121+C128)</f>
        <v>0.58036042233850615</v>
      </c>
      <c r="D129" s="600">
        <f>SUM(D121+D128)</f>
        <v>0.61361056569234784</v>
      </c>
      <c r="E129" s="601">
        <f t="shared" si="15"/>
        <v>3.3250143353841688E-2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3108</v>
      </c>
      <c r="D137" s="606">
        <v>3258</v>
      </c>
      <c r="E137" s="607">
        <f t="shared" ref="E137:E145" si="16">D137-C137</f>
        <v>150</v>
      </c>
    </row>
    <row r="138" spans="1:5" s="421" customFormat="1" x14ac:dyDescent="0.2">
      <c r="A138" s="588">
        <v>2</v>
      </c>
      <c r="B138" s="587" t="s">
        <v>636</v>
      </c>
      <c r="C138" s="606">
        <v>3353</v>
      </c>
      <c r="D138" s="606">
        <v>3476</v>
      </c>
      <c r="E138" s="607">
        <f t="shared" si="16"/>
        <v>123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2269</v>
      </c>
      <c r="D139" s="606">
        <f>D140+D141</f>
        <v>2586</v>
      </c>
      <c r="E139" s="607">
        <f t="shared" si="16"/>
        <v>317</v>
      </c>
    </row>
    <row r="140" spans="1:5" s="421" customFormat="1" x14ac:dyDescent="0.2">
      <c r="A140" s="588">
        <v>4</v>
      </c>
      <c r="B140" s="587" t="s">
        <v>115</v>
      </c>
      <c r="C140" s="606">
        <v>2269</v>
      </c>
      <c r="D140" s="606">
        <v>2586</v>
      </c>
      <c r="E140" s="607">
        <f t="shared" si="16"/>
        <v>317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76</v>
      </c>
      <c r="D142" s="606">
        <v>45</v>
      </c>
      <c r="E142" s="607">
        <f t="shared" si="16"/>
        <v>-31</v>
      </c>
    </row>
    <row r="143" spans="1:5" s="421" customFormat="1" x14ac:dyDescent="0.2">
      <c r="A143" s="588">
        <v>7</v>
      </c>
      <c r="B143" s="587" t="s">
        <v>759</v>
      </c>
      <c r="C143" s="606">
        <v>64</v>
      </c>
      <c r="D143" s="606">
        <v>77</v>
      </c>
      <c r="E143" s="607">
        <f t="shared" si="16"/>
        <v>13</v>
      </c>
    </row>
    <row r="144" spans="1:5" s="421" customFormat="1" x14ac:dyDescent="0.2">
      <c r="A144" s="588"/>
      <c r="B144" s="592" t="s">
        <v>808</v>
      </c>
      <c r="C144" s="608">
        <f>SUM(C138+C139+C142)</f>
        <v>5698</v>
      </c>
      <c r="D144" s="608">
        <f>SUM(D138+D139+D142)</f>
        <v>6107</v>
      </c>
      <c r="E144" s="609">
        <f t="shared" si="16"/>
        <v>409</v>
      </c>
    </row>
    <row r="145" spans="1:5" s="421" customFormat="1" x14ac:dyDescent="0.2">
      <c r="A145" s="588"/>
      <c r="B145" s="592" t="s">
        <v>138</v>
      </c>
      <c r="C145" s="608">
        <f>SUM(C137+C144)</f>
        <v>8806</v>
      </c>
      <c r="D145" s="608">
        <f>SUM(D137+D144)</f>
        <v>9365</v>
      </c>
      <c r="E145" s="609">
        <f t="shared" si="16"/>
        <v>559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10691</v>
      </c>
      <c r="D149" s="610">
        <v>12457</v>
      </c>
      <c r="E149" s="607">
        <f t="shared" ref="E149:E157" si="17">D149-C149</f>
        <v>1766</v>
      </c>
    </row>
    <row r="150" spans="1:5" s="421" customFormat="1" x14ac:dyDescent="0.2">
      <c r="A150" s="588">
        <v>2</v>
      </c>
      <c r="B150" s="587" t="s">
        <v>636</v>
      </c>
      <c r="C150" s="610">
        <v>18652</v>
      </c>
      <c r="D150" s="610">
        <v>20473</v>
      </c>
      <c r="E150" s="607">
        <f t="shared" si="17"/>
        <v>1821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10980</v>
      </c>
      <c r="D151" s="610">
        <f>D152+D153</f>
        <v>11673</v>
      </c>
      <c r="E151" s="607">
        <f t="shared" si="17"/>
        <v>693</v>
      </c>
    </row>
    <row r="152" spans="1:5" s="421" customFormat="1" x14ac:dyDescent="0.2">
      <c r="A152" s="588">
        <v>4</v>
      </c>
      <c r="B152" s="587" t="s">
        <v>115</v>
      </c>
      <c r="C152" s="610">
        <v>10980</v>
      </c>
      <c r="D152" s="610">
        <v>11673</v>
      </c>
      <c r="E152" s="607">
        <f t="shared" si="17"/>
        <v>693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369</v>
      </c>
      <c r="D154" s="610">
        <v>173</v>
      </c>
      <c r="E154" s="607">
        <f t="shared" si="17"/>
        <v>-196</v>
      </c>
    </row>
    <row r="155" spans="1:5" s="421" customFormat="1" x14ac:dyDescent="0.2">
      <c r="A155" s="588">
        <v>7</v>
      </c>
      <c r="B155" s="587" t="s">
        <v>759</v>
      </c>
      <c r="C155" s="610">
        <v>208</v>
      </c>
      <c r="D155" s="610">
        <v>357</v>
      </c>
      <c r="E155" s="607">
        <f t="shared" si="17"/>
        <v>149</v>
      </c>
    </row>
    <row r="156" spans="1:5" s="421" customFormat="1" x14ac:dyDescent="0.2">
      <c r="A156" s="588"/>
      <c r="B156" s="592" t="s">
        <v>809</v>
      </c>
      <c r="C156" s="608">
        <f>SUM(C150+C151+C154)</f>
        <v>30001</v>
      </c>
      <c r="D156" s="608">
        <f>SUM(D150+D151+D154)</f>
        <v>32319</v>
      </c>
      <c r="E156" s="609">
        <f t="shared" si="17"/>
        <v>2318</v>
      </c>
    </row>
    <row r="157" spans="1:5" s="421" customFormat="1" x14ac:dyDescent="0.2">
      <c r="A157" s="588"/>
      <c r="B157" s="592" t="s">
        <v>140</v>
      </c>
      <c r="C157" s="608">
        <f>SUM(C149+C156)</f>
        <v>40692</v>
      </c>
      <c r="D157" s="608">
        <f>SUM(D149+D156)</f>
        <v>44776</v>
      </c>
      <c r="E157" s="609">
        <f t="shared" si="17"/>
        <v>4084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3.4398326898326896</v>
      </c>
      <c r="D161" s="612">
        <f t="shared" si="18"/>
        <v>3.8235113566605281</v>
      </c>
      <c r="E161" s="613">
        <f t="shared" ref="E161:E169" si="19">D161-C161</f>
        <v>0.38367866682783847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5.5627796003578887</v>
      </c>
      <c r="D162" s="612">
        <f t="shared" si="18"/>
        <v>5.8898158803222094</v>
      </c>
      <c r="E162" s="613">
        <f t="shared" si="19"/>
        <v>0.32703627996432072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4.8391361833406785</v>
      </c>
      <c r="D163" s="612">
        <f t="shared" si="18"/>
        <v>4.5139211136890953</v>
      </c>
      <c r="E163" s="613">
        <f t="shared" si="19"/>
        <v>-0.3252150696515832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4.8391361833406785</v>
      </c>
      <c r="D164" s="612">
        <f t="shared" si="18"/>
        <v>4.5139211136890953</v>
      </c>
      <c r="E164" s="613">
        <f t="shared" si="19"/>
        <v>-0.3252150696515832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4.8552631578947372</v>
      </c>
      <c r="D166" s="612">
        <f t="shared" si="18"/>
        <v>3.8444444444444446</v>
      </c>
      <c r="E166" s="613">
        <f t="shared" si="19"/>
        <v>-1.0108187134502926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3.25</v>
      </c>
      <c r="D167" s="612">
        <f t="shared" si="18"/>
        <v>4.6363636363636367</v>
      </c>
      <c r="E167" s="613">
        <f t="shared" si="19"/>
        <v>1.3863636363636367</v>
      </c>
    </row>
    <row r="168" spans="1:5" s="421" customFormat="1" x14ac:dyDescent="0.2">
      <c r="A168" s="588"/>
      <c r="B168" s="592" t="s">
        <v>811</v>
      </c>
      <c r="C168" s="614">
        <f t="shared" si="18"/>
        <v>5.2651807651807649</v>
      </c>
      <c r="D168" s="614">
        <f t="shared" si="18"/>
        <v>5.292123792369412</v>
      </c>
      <c r="E168" s="615">
        <f t="shared" si="19"/>
        <v>2.6943027188647051E-2</v>
      </c>
    </row>
    <row r="169" spans="1:5" s="421" customFormat="1" x14ac:dyDescent="0.2">
      <c r="A169" s="588"/>
      <c r="B169" s="592" t="s">
        <v>745</v>
      </c>
      <c r="C169" s="614">
        <f t="shared" si="18"/>
        <v>4.6209402679990914</v>
      </c>
      <c r="D169" s="614">
        <f t="shared" si="18"/>
        <v>4.7812066203950883</v>
      </c>
      <c r="E169" s="615">
        <f t="shared" si="19"/>
        <v>0.16026635239599685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1.02108</v>
      </c>
      <c r="D173" s="617">
        <f t="shared" si="20"/>
        <v>1.0587</v>
      </c>
      <c r="E173" s="618">
        <f t="shared" ref="E173:E181" si="21">D173-C173</f>
        <v>3.7619999999999987E-2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1.48956</v>
      </c>
      <c r="D174" s="617">
        <f t="shared" si="20"/>
        <v>1.5199</v>
      </c>
      <c r="E174" s="618">
        <f t="shared" si="21"/>
        <v>3.0340000000000034E-2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1.02108</v>
      </c>
      <c r="D175" s="617">
        <f t="shared" si="20"/>
        <v>1.0337000000000001</v>
      </c>
      <c r="E175" s="618">
        <f t="shared" si="21"/>
        <v>1.2620000000000076E-2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1.02108</v>
      </c>
      <c r="D176" s="617">
        <f t="shared" si="20"/>
        <v>1.0337000000000001</v>
      </c>
      <c r="E176" s="618">
        <f t="shared" si="21"/>
        <v>1.2620000000000076E-2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1.0809</v>
      </c>
      <c r="D178" s="617">
        <f t="shared" si="20"/>
        <v>1.0025999999999999</v>
      </c>
      <c r="E178" s="618">
        <f t="shared" si="21"/>
        <v>-7.8300000000000036E-2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1.0867899999999999</v>
      </c>
      <c r="D179" s="617">
        <f t="shared" si="20"/>
        <v>1.1203000000000001</v>
      </c>
      <c r="E179" s="618">
        <f t="shared" si="21"/>
        <v>3.3510000000000151E-2</v>
      </c>
    </row>
    <row r="180" spans="1:5" s="421" customFormat="1" x14ac:dyDescent="0.2">
      <c r="A180" s="588"/>
      <c r="B180" s="592" t="s">
        <v>813</v>
      </c>
      <c r="C180" s="619">
        <f t="shared" si="20"/>
        <v>1.2975559143559143</v>
      </c>
      <c r="D180" s="619">
        <f t="shared" si="20"/>
        <v>1.310207565089242</v>
      </c>
      <c r="E180" s="620">
        <f t="shared" si="21"/>
        <v>1.2651650733327635E-2</v>
      </c>
    </row>
    <row r="181" spans="1:5" s="421" customFormat="1" x14ac:dyDescent="0.2">
      <c r="A181" s="588"/>
      <c r="B181" s="592" t="s">
        <v>724</v>
      </c>
      <c r="C181" s="619">
        <f t="shared" si="20"/>
        <v>1.1999761798773563</v>
      </c>
      <c r="D181" s="619">
        <f t="shared" si="20"/>
        <v>1.2227103256807261</v>
      </c>
      <c r="E181" s="620">
        <f t="shared" si="21"/>
        <v>2.2734145803369854E-2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815</v>
      </c>
      <c r="C185" s="589">
        <v>206779452</v>
      </c>
      <c r="D185" s="589">
        <v>224184505</v>
      </c>
      <c r="E185" s="590">
        <f>D185-C185</f>
        <v>17405053</v>
      </c>
    </row>
    <row r="186" spans="1:5" s="421" customFormat="1" ht="25.5" x14ac:dyDescent="0.2">
      <c r="A186" s="588">
        <v>2</v>
      </c>
      <c r="B186" s="587" t="s">
        <v>816</v>
      </c>
      <c r="C186" s="589">
        <v>88293307</v>
      </c>
      <c r="D186" s="589">
        <v>95527132</v>
      </c>
      <c r="E186" s="590">
        <f>D186-C186</f>
        <v>7233825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118486145</v>
      </c>
      <c r="D188" s="622">
        <f>+D185-D186</f>
        <v>128657373</v>
      </c>
      <c r="E188" s="590">
        <f t="shared" ref="E188:E197" si="22">D188-C188</f>
        <v>10171228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0.57300734601037628</v>
      </c>
      <c r="D189" s="623">
        <f>IF(D185=0,0,+D188/D185)</f>
        <v>0.57389056839588448</v>
      </c>
      <c r="E189" s="599">
        <f t="shared" si="22"/>
        <v>8.8322238550819776E-4</v>
      </c>
    </row>
    <row r="190" spans="1:5" s="421" customFormat="1" x14ac:dyDescent="0.2">
      <c r="A190" s="588">
        <v>5</v>
      </c>
      <c r="B190" s="587" t="s">
        <v>763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749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1553798</v>
      </c>
      <c r="D193" s="589">
        <v>2297057</v>
      </c>
      <c r="E193" s="622">
        <f t="shared" si="22"/>
        <v>743259</v>
      </c>
    </row>
    <row r="194" spans="1:5" s="421" customFormat="1" x14ac:dyDescent="0.2">
      <c r="A194" s="588">
        <v>9</v>
      </c>
      <c r="B194" s="587" t="s">
        <v>819</v>
      </c>
      <c r="C194" s="589">
        <v>6806310</v>
      </c>
      <c r="D194" s="589">
        <v>10662336</v>
      </c>
      <c r="E194" s="622">
        <f t="shared" si="22"/>
        <v>3856026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8360108</v>
      </c>
      <c r="D195" s="589">
        <f>+D193+D194</f>
        <v>12959393</v>
      </c>
      <c r="E195" s="625">
        <f t="shared" si="22"/>
        <v>4599285</v>
      </c>
    </row>
    <row r="196" spans="1:5" s="421" customFormat="1" x14ac:dyDescent="0.2">
      <c r="A196" s="588">
        <v>11</v>
      </c>
      <c r="B196" s="587" t="s">
        <v>821</v>
      </c>
      <c r="C196" s="589">
        <v>12387148</v>
      </c>
      <c r="D196" s="589">
        <v>10090574</v>
      </c>
      <c r="E196" s="622">
        <f t="shared" si="22"/>
        <v>-2296574</v>
      </c>
    </row>
    <row r="197" spans="1:5" s="421" customFormat="1" x14ac:dyDescent="0.2">
      <c r="A197" s="588">
        <v>12</v>
      </c>
      <c r="B197" s="587" t="s">
        <v>711</v>
      </c>
      <c r="C197" s="589">
        <v>179724323</v>
      </c>
      <c r="D197" s="589">
        <v>192710898</v>
      </c>
      <c r="E197" s="622">
        <f t="shared" si="22"/>
        <v>12986575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3173.5166399999998</v>
      </c>
      <c r="D203" s="629">
        <v>3449.2446</v>
      </c>
      <c r="E203" s="630">
        <f t="shared" ref="E203:E211" si="23">D203-C203</f>
        <v>275.72796000000017</v>
      </c>
    </row>
    <row r="204" spans="1:5" s="421" customFormat="1" x14ac:dyDescent="0.2">
      <c r="A204" s="588">
        <v>2</v>
      </c>
      <c r="B204" s="587" t="s">
        <v>636</v>
      </c>
      <c r="C204" s="629">
        <v>4994.4946799999998</v>
      </c>
      <c r="D204" s="629">
        <v>5283.1724000000004</v>
      </c>
      <c r="E204" s="630">
        <f t="shared" si="23"/>
        <v>288.67772000000059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2316.83052</v>
      </c>
      <c r="D205" s="629">
        <f>D206+D207</f>
        <v>2673.1482000000001</v>
      </c>
      <c r="E205" s="630">
        <f t="shared" si="23"/>
        <v>356.31768000000011</v>
      </c>
    </row>
    <row r="206" spans="1:5" s="421" customFormat="1" x14ac:dyDescent="0.2">
      <c r="A206" s="588">
        <v>4</v>
      </c>
      <c r="B206" s="587" t="s">
        <v>115</v>
      </c>
      <c r="C206" s="629">
        <v>2316.83052</v>
      </c>
      <c r="D206" s="629">
        <v>2673.1482000000001</v>
      </c>
      <c r="E206" s="630">
        <f t="shared" si="23"/>
        <v>356.31768000000011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82.148399999999995</v>
      </c>
      <c r="D208" s="629">
        <v>45.116999999999997</v>
      </c>
      <c r="E208" s="630">
        <f t="shared" si="23"/>
        <v>-37.031399999999998</v>
      </c>
    </row>
    <row r="209" spans="1:5" s="421" customFormat="1" x14ac:dyDescent="0.2">
      <c r="A209" s="588">
        <v>7</v>
      </c>
      <c r="B209" s="587" t="s">
        <v>759</v>
      </c>
      <c r="C209" s="629">
        <v>69.554559999999995</v>
      </c>
      <c r="D209" s="629">
        <v>86.263100000000009</v>
      </c>
      <c r="E209" s="630">
        <f t="shared" si="23"/>
        <v>16.708540000000013</v>
      </c>
    </row>
    <row r="210" spans="1:5" s="421" customFormat="1" x14ac:dyDescent="0.2">
      <c r="A210" s="588"/>
      <c r="B210" s="592" t="s">
        <v>824</v>
      </c>
      <c r="C210" s="631">
        <f>C204+C205+C208</f>
        <v>7393.4735999999994</v>
      </c>
      <c r="D210" s="631">
        <f>D204+D205+D208</f>
        <v>8001.4376000000011</v>
      </c>
      <c r="E210" s="632">
        <f t="shared" si="23"/>
        <v>607.96400000000176</v>
      </c>
    </row>
    <row r="211" spans="1:5" s="421" customFormat="1" x14ac:dyDescent="0.2">
      <c r="A211" s="588"/>
      <c r="B211" s="592" t="s">
        <v>725</v>
      </c>
      <c r="C211" s="631">
        <f>C210+C203</f>
        <v>10566.990239999999</v>
      </c>
      <c r="D211" s="631">
        <f>D210+D203</f>
        <v>11450.682200000001</v>
      </c>
      <c r="E211" s="632">
        <f t="shared" si="23"/>
        <v>883.69196000000193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8571.8266591371012</v>
      </c>
      <c r="D215" s="633">
        <f>IF(D14*D137=0,0,D25/D14*D137)</f>
        <v>8650.901837886664</v>
      </c>
      <c r="E215" s="633">
        <f t="shared" ref="E215:E223" si="24">D215-C215</f>
        <v>79.075178749562838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3988.518041203044</v>
      </c>
      <c r="D216" s="633">
        <f>IF(D15*D138=0,0,D26/D15*D138)</f>
        <v>4241.9651143391775</v>
      </c>
      <c r="E216" s="633">
        <f t="shared" si="24"/>
        <v>253.44707313613344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4250.038913714021</v>
      </c>
      <c r="D217" s="633">
        <f>D218+D219</f>
        <v>4463.7746313997923</v>
      </c>
      <c r="E217" s="633">
        <f t="shared" si="24"/>
        <v>213.73571768577131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4250.038913714021</v>
      </c>
      <c r="D218" s="633">
        <f t="shared" si="25"/>
        <v>4463.7746313997923</v>
      </c>
      <c r="E218" s="633">
        <f t="shared" si="24"/>
        <v>213.73571768577131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81.529228002082647</v>
      </c>
      <c r="D220" s="633">
        <f t="shared" si="25"/>
        <v>69.90702611488372</v>
      </c>
      <c r="E220" s="633">
        <f t="shared" si="24"/>
        <v>-11.622201887198926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378.18431291012337</v>
      </c>
      <c r="D221" s="633">
        <f t="shared" si="25"/>
        <v>343.68545866781051</v>
      </c>
      <c r="E221" s="633">
        <f t="shared" si="24"/>
        <v>-34.498854242312859</v>
      </c>
    </row>
    <row r="222" spans="1:5" s="421" customFormat="1" x14ac:dyDescent="0.2">
      <c r="A222" s="588"/>
      <c r="B222" s="592" t="s">
        <v>826</v>
      </c>
      <c r="C222" s="634">
        <f>C216+C218+C219+C220</f>
        <v>8320.0861829191472</v>
      </c>
      <c r="D222" s="634">
        <f>D216+D218+D219+D220</f>
        <v>8775.6467718538552</v>
      </c>
      <c r="E222" s="634">
        <f t="shared" si="24"/>
        <v>455.56058893470799</v>
      </c>
    </row>
    <row r="223" spans="1:5" s="421" customFormat="1" x14ac:dyDescent="0.2">
      <c r="A223" s="588"/>
      <c r="B223" s="592" t="s">
        <v>827</v>
      </c>
      <c r="C223" s="634">
        <f>C215+C222</f>
        <v>16891.912842056248</v>
      </c>
      <c r="D223" s="634">
        <f>D215+D222</f>
        <v>17426.548609740519</v>
      </c>
      <c r="E223" s="634">
        <f t="shared" si="24"/>
        <v>534.63576768427083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8561.3280414373385</v>
      </c>
      <c r="D227" s="636">
        <f t="shared" si="26"/>
        <v>8336.8662808082681</v>
      </c>
      <c r="E227" s="636">
        <f t="shared" ref="E227:E235" si="27">D227-C227</f>
        <v>-224.46176062907034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7133.2495642982649</v>
      </c>
      <c r="D228" s="636">
        <f t="shared" si="26"/>
        <v>5906.9815703913046</v>
      </c>
      <c r="E228" s="636">
        <f t="shared" si="27"/>
        <v>-1226.2679939069603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5642.7562944914935</v>
      </c>
      <c r="D229" s="636">
        <f t="shared" si="26"/>
        <v>4564.9549097203062</v>
      </c>
      <c r="E229" s="636">
        <f t="shared" si="27"/>
        <v>-1077.8013847711873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5642.7562944914935</v>
      </c>
      <c r="D230" s="636">
        <f t="shared" si="26"/>
        <v>4564.9549097203062</v>
      </c>
      <c r="E230" s="636">
        <f t="shared" si="27"/>
        <v>-1077.8013847711873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4210.0880844909943</v>
      </c>
      <c r="D232" s="636">
        <f t="shared" si="26"/>
        <v>8801.7155395970476</v>
      </c>
      <c r="E232" s="636">
        <f t="shared" si="27"/>
        <v>4591.6274551060533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632.10808895922855</v>
      </c>
      <c r="D233" s="636">
        <f t="shared" si="26"/>
        <v>0</v>
      </c>
      <c r="E233" s="636">
        <f t="shared" si="27"/>
        <v>-632.10808895922855</v>
      </c>
    </row>
    <row r="234" spans="1:5" x14ac:dyDescent="0.2">
      <c r="A234" s="588"/>
      <c r="B234" s="592" t="s">
        <v>829</v>
      </c>
      <c r="C234" s="637">
        <f t="shared" si="26"/>
        <v>6633.7071927868928</v>
      </c>
      <c r="D234" s="637">
        <f t="shared" si="26"/>
        <v>5474.9549006043608</v>
      </c>
      <c r="E234" s="637">
        <f t="shared" si="27"/>
        <v>-1158.7522921825321</v>
      </c>
    </row>
    <row r="235" spans="1:5" s="421" customFormat="1" x14ac:dyDescent="0.2">
      <c r="A235" s="588"/>
      <c r="B235" s="592" t="s">
        <v>830</v>
      </c>
      <c r="C235" s="637">
        <f t="shared" si="26"/>
        <v>7212.617241898769</v>
      </c>
      <c r="D235" s="637">
        <f t="shared" si="26"/>
        <v>6337.0373688303034</v>
      </c>
      <c r="E235" s="637">
        <f t="shared" si="27"/>
        <v>-875.57987306846553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7130.7776545907354</v>
      </c>
      <c r="D239" s="636">
        <f t="shared" si="28"/>
        <v>7527.7329717000503</v>
      </c>
      <c r="E239" s="638">
        <f t="shared" ref="E239:E247" si="29">D239-C239</f>
        <v>396.95531710931482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6919.6339880853029</v>
      </c>
      <c r="D240" s="636">
        <f t="shared" si="28"/>
        <v>7337.0648180939834</v>
      </c>
      <c r="E240" s="638">
        <f t="shared" si="29"/>
        <v>417.43083000868046</v>
      </c>
    </row>
    <row r="241" spans="1:5" x14ac:dyDescent="0.2">
      <c r="A241" s="588">
        <v>3</v>
      </c>
      <c r="B241" s="587" t="s">
        <v>778</v>
      </c>
      <c r="C241" s="636">
        <f t="shared" si="28"/>
        <v>3838.5839121043291</v>
      </c>
      <c r="D241" s="636">
        <f t="shared" si="28"/>
        <v>4140.385105913002</v>
      </c>
      <c r="E241" s="638">
        <f t="shared" si="29"/>
        <v>301.80119380867291</v>
      </c>
    </row>
    <row r="242" spans="1:5" x14ac:dyDescent="0.2">
      <c r="A242" s="588">
        <v>4</v>
      </c>
      <c r="B242" s="587" t="s">
        <v>115</v>
      </c>
      <c r="C242" s="636">
        <f t="shared" si="28"/>
        <v>3838.5839121043291</v>
      </c>
      <c r="D242" s="636">
        <f t="shared" si="28"/>
        <v>4140.385105913002</v>
      </c>
      <c r="E242" s="638">
        <f t="shared" si="29"/>
        <v>301.80119380867291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4526.5239110392758</v>
      </c>
      <c r="D244" s="636">
        <f t="shared" si="28"/>
        <v>7269.8987246976722</v>
      </c>
      <c r="E244" s="638">
        <f t="shared" si="29"/>
        <v>2743.3748136583963</v>
      </c>
    </row>
    <row r="245" spans="1:5" x14ac:dyDescent="0.2">
      <c r="A245" s="588">
        <v>7</v>
      </c>
      <c r="B245" s="587" t="s">
        <v>759</v>
      </c>
      <c r="C245" s="636">
        <f t="shared" si="28"/>
        <v>808.12447678820433</v>
      </c>
      <c r="D245" s="636">
        <f t="shared" si="28"/>
        <v>0</v>
      </c>
      <c r="E245" s="638">
        <f t="shared" si="29"/>
        <v>-808.12447678820433</v>
      </c>
    </row>
    <row r="246" spans="1:5" ht="25.5" x14ac:dyDescent="0.2">
      <c r="A246" s="588"/>
      <c r="B246" s="592" t="s">
        <v>832</v>
      </c>
      <c r="C246" s="637">
        <f t="shared" si="28"/>
        <v>5322.3318877285146</v>
      </c>
      <c r="D246" s="637">
        <f t="shared" si="28"/>
        <v>5710.5233725597545</v>
      </c>
      <c r="E246" s="639">
        <f t="shared" si="29"/>
        <v>388.1914848312399</v>
      </c>
    </row>
    <row r="247" spans="1:5" x14ac:dyDescent="0.2">
      <c r="A247" s="588"/>
      <c r="B247" s="592" t="s">
        <v>833</v>
      </c>
      <c r="C247" s="637">
        <f t="shared" si="28"/>
        <v>6240.0304208039561</v>
      </c>
      <c r="D247" s="637">
        <f t="shared" si="28"/>
        <v>6612.6240818327969</v>
      </c>
      <c r="E247" s="639">
        <f t="shared" si="29"/>
        <v>372.59366102884087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13094582.718020679</v>
      </c>
      <c r="D251" s="622">
        <f>((IF((IF(D15=0,0,D26/D15)*D138)=0,0,D59/(IF(D15=0,0,D26/D15)*D138)))-(IF((IF(D17=0,0,D28/D17)*D140)=0,0,D61/(IF(D17=0,0,D28/D17)*D140))))*(IF(D17=0,0,D28/D17)*D140)</f>
        <v>14269257.803943854</v>
      </c>
      <c r="E251" s="622">
        <f>D251-C251</f>
        <v>1174675.0859231744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2763461.0601885347</v>
      </c>
      <c r="D253" s="622">
        <f>IF(D233=0,0,(D228-D233)*D209+IF(D221=0,0,(D240-D245)*D221))</f>
        <v>0</v>
      </c>
      <c r="E253" s="622">
        <f>D253-C253</f>
        <v>-2763461.0601885347</v>
      </c>
    </row>
    <row r="254" spans="1:5" ht="15" customHeight="1" x14ac:dyDescent="0.2">
      <c r="A254" s="588"/>
      <c r="B254" s="592" t="s">
        <v>760</v>
      </c>
      <c r="C254" s="640">
        <f>+C251+C252+C253</f>
        <v>15858043.778209213</v>
      </c>
      <c r="D254" s="640">
        <f>+D251+D252+D253</f>
        <v>14269257.803943854</v>
      </c>
      <c r="E254" s="640">
        <f>D254-C254</f>
        <v>-1588785.9742653593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599046494</v>
      </c>
      <c r="D258" s="625">
        <f>+D44</f>
        <v>671695785</v>
      </c>
      <c r="E258" s="622">
        <f t="shared" ref="E258:E271" si="30">D258-C258</f>
        <v>72649291</v>
      </c>
    </row>
    <row r="259" spans="1:5" x14ac:dyDescent="0.2">
      <c r="A259" s="588">
        <v>2</v>
      </c>
      <c r="B259" s="587" t="s">
        <v>743</v>
      </c>
      <c r="C259" s="622">
        <f>+(C43-C76)</f>
        <v>298938643</v>
      </c>
      <c r="D259" s="625">
        <f>+(D43-D76)</f>
        <v>343426222</v>
      </c>
      <c r="E259" s="622">
        <f t="shared" si="30"/>
        <v>44487579</v>
      </c>
    </row>
    <row r="260" spans="1:5" x14ac:dyDescent="0.2">
      <c r="A260" s="588">
        <v>3</v>
      </c>
      <c r="B260" s="587" t="s">
        <v>747</v>
      </c>
      <c r="C260" s="622">
        <f>C195</f>
        <v>8360108</v>
      </c>
      <c r="D260" s="622">
        <f>D195</f>
        <v>12959393</v>
      </c>
      <c r="E260" s="622">
        <f t="shared" si="30"/>
        <v>4599285</v>
      </c>
    </row>
    <row r="261" spans="1:5" x14ac:dyDescent="0.2">
      <c r="A261" s="588">
        <v>4</v>
      </c>
      <c r="B261" s="587" t="s">
        <v>748</v>
      </c>
      <c r="C261" s="622">
        <f>C188</f>
        <v>118486145</v>
      </c>
      <c r="D261" s="622">
        <f>D188</f>
        <v>128657373</v>
      </c>
      <c r="E261" s="622">
        <f t="shared" si="30"/>
        <v>10171228</v>
      </c>
    </row>
    <row r="262" spans="1:5" x14ac:dyDescent="0.2">
      <c r="A262" s="588">
        <v>5</v>
      </c>
      <c r="B262" s="587" t="s">
        <v>749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750</v>
      </c>
      <c r="C263" s="622">
        <f>+C259+C260+C261+C262</f>
        <v>425784896</v>
      </c>
      <c r="D263" s="622">
        <f>+D259+D260+D261+D262</f>
        <v>485042988</v>
      </c>
      <c r="E263" s="622">
        <f t="shared" si="30"/>
        <v>59258092</v>
      </c>
    </row>
    <row r="264" spans="1:5" x14ac:dyDescent="0.2">
      <c r="A264" s="588">
        <v>7</v>
      </c>
      <c r="B264" s="587" t="s">
        <v>655</v>
      </c>
      <c r="C264" s="622">
        <f>+C258-C263</f>
        <v>173261598</v>
      </c>
      <c r="D264" s="622">
        <f>+D258-D263</f>
        <v>186652797</v>
      </c>
      <c r="E264" s="622">
        <f t="shared" si="30"/>
        <v>13391199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173261598</v>
      </c>
      <c r="D266" s="622">
        <f>+D264+D265</f>
        <v>186652797</v>
      </c>
      <c r="E266" s="641">
        <f t="shared" si="30"/>
        <v>13391199</v>
      </c>
    </row>
    <row r="267" spans="1:5" x14ac:dyDescent="0.2">
      <c r="A267" s="588">
        <v>10</v>
      </c>
      <c r="B267" s="587" t="s">
        <v>838</v>
      </c>
      <c r="C267" s="642">
        <f>IF(C258=0,0,C266/C258)</f>
        <v>0.28922896592397052</v>
      </c>
      <c r="D267" s="642">
        <f>IF(D258=0,0,D266/D258)</f>
        <v>0.27788293624620558</v>
      </c>
      <c r="E267" s="643">
        <f t="shared" si="30"/>
        <v>-1.1346029677764935E-2</v>
      </c>
    </row>
    <row r="268" spans="1:5" x14ac:dyDescent="0.2">
      <c r="A268" s="588">
        <v>11</v>
      </c>
      <c r="B268" s="587" t="s">
        <v>717</v>
      </c>
      <c r="C268" s="622">
        <f>+C260*C267</f>
        <v>2417985.3918527132</v>
      </c>
      <c r="D268" s="644">
        <f>+D260*D267</f>
        <v>3601194.1788085229</v>
      </c>
      <c r="E268" s="622">
        <f t="shared" si="30"/>
        <v>1183208.7869558097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8752848.0984804183</v>
      </c>
      <c r="D269" s="644">
        <f>((D17+D18+D28+D29)*D267)-(D50+D51+D61+D62)</f>
        <v>10117289.081157081</v>
      </c>
      <c r="E269" s="622">
        <f t="shared" si="30"/>
        <v>1364440.9826766625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841</v>
      </c>
      <c r="C271" s="622">
        <f>+C268+C269+C270</f>
        <v>11170833.490333132</v>
      </c>
      <c r="D271" s="622">
        <f>+D268+D269+D270</f>
        <v>13718483.259965604</v>
      </c>
      <c r="E271" s="625">
        <f t="shared" si="30"/>
        <v>2547649.7696324717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0.49377594084935222</v>
      </c>
      <c r="D276" s="623">
        <f t="shared" si="31"/>
        <v>0.44852355393966953</v>
      </c>
      <c r="E276" s="650">
        <f t="shared" ref="E276:E284" si="32">D276-C276</f>
        <v>-4.5252386909682696E-2</v>
      </c>
    </row>
    <row r="277" spans="1:5" x14ac:dyDescent="0.2">
      <c r="A277" s="588">
        <v>2</v>
      </c>
      <c r="B277" s="587" t="s">
        <v>636</v>
      </c>
      <c r="C277" s="623">
        <f t="shared" si="31"/>
        <v>0.30344484175460956</v>
      </c>
      <c r="D277" s="623">
        <f t="shared" si="31"/>
        <v>0.24084689664993422</v>
      </c>
      <c r="E277" s="650">
        <f t="shared" si="32"/>
        <v>-6.259794510467534E-2</v>
      </c>
    </row>
    <row r="278" spans="1:5" x14ac:dyDescent="0.2">
      <c r="A278" s="588">
        <v>3</v>
      </c>
      <c r="B278" s="587" t="s">
        <v>778</v>
      </c>
      <c r="C278" s="623">
        <f t="shared" si="31"/>
        <v>0.28483440168938329</v>
      </c>
      <c r="D278" s="623">
        <f t="shared" si="31"/>
        <v>0.22656270147499866</v>
      </c>
      <c r="E278" s="650">
        <f t="shared" si="32"/>
        <v>-5.8271700214384631E-2</v>
      </c>
    </row>
    <row r="279" spans="1:5" x14ac:dyDescent="0.2">
      <c r="A279" s="588">
        <v>4</v>
      </c>
      <c r="B279" s="587" t="s">
        <v>115</v>
      </c>
      <c r="C279" s="623">
        <f t="shared" si="31"/>
        <v>0.28483440168938329</v>
      </c>
      <c r="D279" s="623">
        <f t="shared" si="31"/>
        <v>0.22656270147499866</v>
      </c>
      <c r="E279" s="650">
        <f t="shared" si="32"/>
        <v>-5.8271700214384631E-2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0.21539661146998229</v>
      </c>
      <c r="D281" s="623">
        <f t="shared" si="31"/>
        <v>0.36027108310765754</v>
      </c>
      <c r="E281" s="650">
        <f t="shared" si="32"/>
        <v>0.14487447163767525</v>
      </c>
    </row>
    <row r="282" spans="1:5" x14ac:dyDescent="0.2">
      <c r="A282" s="588">
        <v>7</v>
      </c>
      <c r="B282" s="587" t="s">
        <v>759</v>
      </c>
      <c r="C282" s="623">
        <f t="shared" si="31"/>
        <v>3.5569441961197705E-2</v>
      </c>
      <c r="D282" s="623">
        <f t="shared" si="31"/>
        <v>0</v>
      </c>
      <c r="E282" s="650">
        <f t="shared" si="32"/>
        <v>-3.5569441961197705E-2</v>
      </c>
    </row>
    <row r="283" spans="1:5" ht="29.25" customHeight="1" x14ac:dyDescent="0.2">
      <c r="A283" s="588"/>
      <c r="B283" s="592" t="s">
        <v>845</v>
      </c>
      <c r="C283" s="651">
        <f t="shared" si="31"/>
        <v>0.29740795205704745</v>
      </c>
      <c r="D283" s="651">
        <f t="shared" si="31"/>
        <v>0.23739111529211521</v>
      </c>
      <c r="E283" s="652">
        <f t="shared" si="32"/>
        <v>-6.0016836764932247E-2</v>
      </c>
    </row>
    <row r="284" spans="1:5" x14ac:dyDescent="0.2">
      <c r="A284" s="588"/>
      <c r="B284" s="592" t="s">
        <v>846</v>
      </c>
      <c r="C284" s="651">
        <f t="shared" si="31"/>
        <v>0.34653564974988743</v>
      </c>
      <c r="D284" s="651">
        <f t="shared" si="31"/>
        <v>0.29182994210942031</v>
      </c>
      <c r="E284" s="652">
        <f t="shared" si="32"/>
        <v>-5.4705707640467116E-2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0.40277815878179235</v>
      </c>
      <c r="D287" s="623">
        <f t="shared" si="33"/>
        <v>0.38253723202267487</v>
      </c>
      <c r="E287" s="650">
        <f t="shared" ref="E287:E295" si="34">D287-C287</f>
        <v>-2.0240926759117484E-2</v>
      </c>
    </row>
    <row r="288" spans="1:5" x14ac:dyDescent="0.2">
      <c r="A288" s="588">
        <v>2</v>
      </c>
      <c r="B288" s="587" t="s">
        <v>636</v>
      </c>
      <c r="C288" s="623">
        <f t="shared" si="33"/>
        <v>0.19761388785370865</v>
      </c>
      <c r="D288" s="623">
        <f t="shared" si="33"/>
        <v>0.19682614187542347</v>
      </c>
      <c r="E288" s="650">
        <f t="shared" si="34"/>
        <v>-7.8774597828518145E-4</v>
      </c>
    </row>
    <row r="289" spans="1:5" x14ac:dyDescent="0.2">
      <c r="A289" s="588">
        <v>3</v>
      </c>
      <c r="B289" s="587" t="s">
        <v>778</v>
      </c>
      <c r="C289" s="623">
        <f t="shared" si="33"/>
        <v>0.18976338403579324</v>
      </c>
      <c r="D289" s="623">
        <f t="shared" si="33"/>
        <v>0.19879165239555247</v>
      </c>
      <c r="E289" s="650">
        <f t="shared" si="34"/>
        <v>9.0282683597592284E-3</v>
      </c>
    </row>
    <row r="290" spans="1:5" x14ac:dyDescent="0.2">
      <c r="A290" s="588">
        <v>4</v>
      </c>
      <c r="B290" s="587" t="s">
        <v>115</v>
      </c>
      <c r="C290" s="623">
        <f t="shared" si="33"/>
        <v>0.18976338403579324</v>
      </c>
      <c r="D290" s="623">
        <f t="shared" si="33"/>
        <v>0.19879165239555247</v>
      </c>
      <c r="E290" s="650">
        <f t="shared" si="34"/>
        <v>9.0282683597592284E-3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0.21425303692144063</v>
      </c>
      <c r="D292" s="623">
        <f t="shared" si="33"/>
        <v>0.29679920762751955</v>
      </c>
      <c r="E292" s="650">
        <f t="shared" si="34"/>
        <v>8.254617070607892E-2</v>
      </c>
    </row>
    <row r="293" spans="1:5" x14ac:dyDescent="0.2">
      <c r="A293" s="588">
        <v>7</v>
      </c>
      <c r="B293" s="587" t="s">
        <v>759</v>
      </c>
      <c r="C293" s="623">
        <f t="shared" si="33"/>
        <v>4.1842568056467341E-2</v>
      </c>
      <c r="D293" s="623">
        <f t="shared" si="33"/>
        <v>0</v>
      </c>
      <c r="E293" s="650">
        <f t="shared" si="34"/>
        <v>-4.1842568056467341E-2</v>
      </c>
    </row>
    <row r="294" spans="1:5" ht="29.25" customHeight="1" x14ac:dyDescent="0.2">
      <c r="A294" s="588"/>
      <c r="B294" s="592" t="s">
        <v>848</v>
      </c>
      <c r="C294" s="651">
        <f t="shared" si="33"/>
        <v>0.19477139733243484</v>
      </c>
      <c r="D294" s="651">
        <f t="shared" si="33"/>
        <v>0.19822608988582258</v>
      </c>
      <c r="E294" s="652">
        <f t="shared" si="34"/>
        <v>3.4546925533877337E-3</v>
      </c>
    </row>
    <row r="295" spans="1:5" x14ac:dyDescent="0.2">
      <c r="A295" s="588"/>
      <c r="B295" s="592" t="s">
        <v>849</v>
      </c>
      <c r="C295" s="651">
        <f t="shared" si="33"/>
        <v>0.2780351499558365</v>
      </c>
      <c r="D295" s="651">
        <f t="shared" si="33"/>
        <v>0.27239394075033552</v>
      </c>
      <c r="E295" s="652">
        <f t="shared" si="34"/>
        <v>-5.6412092055009855E-3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181621706</v>
      </c>
      <c r="D301" s="590">
        <f>+D48+D47+D50+D51+D52+D59+D58+D61+D62+D63</f>
        <v>187798616</v>
      </c>
      <c r="E301" s="590">
        <f>D301-C301</f>
        <v>6176910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181621706</v>
      </c>
      <c r="D303" s="593">
        <f>+D301+D302</f>
        <v>187798616</v>
      </c>
      <c r="E303" s="593">
        <f>D303-C303</f>
        <v>6176910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-5329253</v>
      </c>
      <c r="D305" s="654">
        <v>-7334339</v>
      </c>
      <c r="E305" s="655">
        <f>D305-C305</f>
        <v>-2005086</v>
      </c>
    </row>
    <row r="306" spans="1:5" x14ac:dyDescent="0.2">
      <c r="A306" s="588">
        <v>4</v>
      </c>
      <c r="B306" s="592" t="s">
        <v>856</v>
      </c>
      <c r="C306" s="593">
        <f>+C303+C305+C194+C190-C191</f>
        <v>183098763</v>
      </c>
      <c r="D306" s="593">
        <f>+D303+D305</f>
        <v>180464277</v>
      </c>
      <c r="E306" s="656">
        <f>D306-C306</f>
        <v>-2634486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176292453</v>
      </c>
      <c r="D308" s="589">
        <v>180464287</v>
      </c>
      <c r="E308" s="590">
        <f>D308-C308</f>
        <v>4171834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6806310</v>
      </c>
      <c r="D310" s="658">
        <f>D306-D308</f>
        <v>-10</v>
      </c>
      <c r="E310" s="656">
        <f>D310-C310</f>
        <v>-6806320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599046494</v>
      </c>
      <c r="D314" s="590">
        <f>+D14+D15+D16+D19+D25+D26+D27+D30</f>
        <v>671695785</v>
      </c>
      <c r="E314" s="590">
        <f>D314-C314</f>
        <v>72649291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599046494</v>
      </c>
      <c r="D316" s="657">
        <f>D314+D315</f>
        <v>671695785</v>
      </c>
      <c r="E316" s="593">
        <f>D316-C316</f>
        <v>72649291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599046493</v>
      </c>
      <c r="D318" s="589">
        <v>671695786</v>
      </c>
      <c r="E318" s="590">
        <f>D318-C318</f>
        <v>72649293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1</v>
      </c>
      <c r="D320" s="657">
        <f>D316-D318</f>
        <v>-1</v>
      </c>
      <c r="E320" s="593">
        <f>D320-C320</f>
        <v>-2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8360108</v>
      </c>
      <c r="D324" s="589">
        <f>+D193+D194</f>
        <v>12959393</v>
      </c>
      <c r="E324" s="590">
        <f>D324-C324</f>
        <v>4599285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8360108</v>
      </c>
      <c r="D326" s="657">
        <f>D324+D325</f>
        <v>12959393</v>
      </c>
      <c r="E326" s="593">
        <f>D326-C326</f>
        <v>4599285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8360108</v>
      </c>
      <c r="D328" s="589">
        <v>12959393</v>
      </c>
      <c r="E328" s="590">
        <f>D328-C328</f>
        <v>4599285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>
      <selection activeCell="B37" sqref="B37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64112332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129574441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53860591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53860591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1102245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1860366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184537277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248649609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170236185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158127232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92970433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92970433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1712326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8303646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252809991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423046176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234348517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437347268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671695785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28755891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31207602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12202801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12202801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397107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43807510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72563401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65121679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31123573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18481746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18481746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508217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50113536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115235215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93877570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93921046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187798616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3258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3476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2586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2586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45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77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6107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9365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1.0587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1.5199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1.0337000000000001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1.0337000000000001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1.0025999999999999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1.1203000000000001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1.310207565089242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1.2227103256807261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224184505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95527132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128657373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0.57389056839588448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2297057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10662336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12959393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10090574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192710898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187798616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187798616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-7334339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180464277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180464287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-10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671695785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671695785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671695786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-1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12959393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12959393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12959393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75" bottom="0.75" header="0.3" footer="0.3"/>
  <pageSetup scale="79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37" sqref="B37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883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891</v>
      </c>
      <c r="D12" s="185">
        <v>985</v>
      </c>
      <c r="E12" s="185">
        <f>+D12-C12</f>
        <v>94</v>
      </c>
      <c r="F12" s="77">
        <f>IF(C12=0,0,+E12/C12)</f>
        <v>0.10549943883277217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808</v>
      </c>
      <c r="D13" s="185">
        <v>921</v>
      </c>
      <c r="E13" s="185">
        <f>+D13-C13</f>
        <v>113</v>
      </c>
      <c r="F13" s="77">
        <f>IF(C13=0,0,+E13/C13)</f>
        <v>0.13985148514851486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1553798</v>
      </c>
      <c r="D15" s="76">
        <v>2297057</v>
      </c>
      <c r="E15" s="76">
        <f>+D15-C15</f>
        <v>743259</v>
      </c>
      <c r="F15" s="77">
        <f>IF(C15=0,0,+E15/C15)</f>
        <v>0.47834982410841048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1923.0173267326732</v>
      </c>
      <c r="D16" s="79">
        <f>IF(D13=0,0,+D15/+D13)</f>
        <v>2494.0901194353964</v>
      </c>
      <c r="E16" s="79">
        <f>+D16-C16</f>
        <v>571.07279270272329</v>
      </c>
      <c r="F16" s="80">
        <f>IF(C16=0,0,+E16/C16)</f>
        <v>0.2969670552438608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0.29922399999999999</v>
      </c>
      <c r="D18" s="704">
        <v>0.29393900000000001</v>
      </c>
      <c r="E18" s="704">
        <f>+D18-C18</f>
        <v>-5.2849999999999842E-3</v>
      </c>
      <c r="F18" s="77">
        <f>IF(C18=0,0,+E18/C18)</f>
        <v>-1.7662353287169426E-2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464933.65275199997</v>
      </c>
      <c r="D19" s="79">
        <f>+D15*D18</f>
        <v>675194.63752300001</v>
      </c>
      <c r="E19" s="79">
        <f>+D19-C19</f>
        <v>210260.98477100005</v>
      </c>
      <c r="F19" s="80">
        <f>IF(C19=0,0,+E19/C19)</f>
        <v>0.45223868723298299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575.4129365742574</v>
      </c>
      <c r="D20" s="79">
        <f>IF(D13=0,0,+D19/D13)</f>
        <v>733.11035561672099</v>
      </c>
      <c r="E20" s="79">
        <f>+D20-C20</f>
        <v>157.69741904246359</v>
      </c>
      <c r="F20" s="80">
        <f>IF(C20=0,0,+E20/C20)</f>
        <v>0.27405956491232386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305958</v>
      </c>
      <c r="D22" s="76">
        <v>462091</v>
      </c>
      <c r="E22" s="76">
        <f>+D22-C22</f>
        <v>156133</v>
      </c>
      <c r="F22" s="77">
        <f>IF(C22=0,0,+E22/C22)</f>
        <v>0.51030860444897663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828535</v>
      </c>
      <c r="D23" s="185">
        <v>339046</v>
      </c>
      <c r="E23" s="185">
        <f>+D23-C23</f>
        <v>-489489</v>
      </c>
      <c r="F23" s="77">
        <f>IF(C23=0,0,+E23/C23)</f>
        <v>-0.59078856053154061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419305</v>
      </c>
      <c r="D24" s="185">
        <v>1495920</v>
      </c>
      <c r="E24" s="185">
        <f>+D24-C24</f>
        <v>1076615</v>
      </c>
      <c r="F24" s="77">
        <f>IF(C24=0,0,+E24/C24)</f>
        <v>2.5676178438129762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1553798</v>
      </c>
      <c r="D25" s="79">
        <f>+D22+D23+D24</f>
        <v>2297057</v>
      </c>
      <c r="E25" s="79">
        <f>+E22+E23+E24</f>
        <v>743259</v>
      </c>
      <c r="F25" s="80">
        <f>IF(C25=0,0,+E25/C25)</f>
        <v>0.47834982410841048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503</v>
      </c>
      <c r="D27" s="185">
        <v>569</v>
      </c>
      <c r="E27" s="185">
        <f>+D27-C27</f>
        <v>66</v>
      </c>
      <c r="F27" s="77">
        <f>IF(C27=0,0,+E27/C27)</f>
        <v>0.1312127236580517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122</v>
      </c>
      <c r="D28" s="185">
        <v>152</v>
      </c>
      <c r="E28" s="185">
        <f>+D28-C28</f>
        <v>30</v>
      </c>
      <c r="F28" s="77">
        <f>IF(C28=0,0,+E28/C28)</f>
        <v>0.24590163934426229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626</v>
      </c>
      <c r="D29" s="185">
        <v>1142</v>
      </c>
      <c r="E29" s="185">
        <f>+D29-C29</f>
        <v>516</v>
      </c>
      <c r="F29" s="77">
        <f>IF(C29=0,0,+E29/C29)</f>
        <v>0.82428115015974446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1153</v>
      </c>
      <c r="D30" s="185">
        <v>1879</v>
      </c>
      <c r="E30" s="185">
        <f>+D30-C30</f>
        <v>726</v>
      </c>
      <c r="F30" s="77">
        <f>IF(C30=0,0,+E30/C30)</f>
        <v>0.62966175195143104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1811158</v>
      </c>
      <c r="D33" s="76">
        <v>2144905</v>
      </c>
      <c r="E33" s="76">
        <f>+D33-C33</f>
        <v>333747</v>
      </c>
      <c r="F33" s="77">
        <f>IF(C33=0,0,+E33/C33)</f>
        <v>0.1842727139211488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2069638</v>
      </c>
      <c r="D34" s="185">
        <v>1573762</v>
      </c>
      <c r="E34" s="185">
        <f>+D34-C34</f>
        <v>-495876</v>
      </c>
      <c r="F34" s="77">
        <f>IF(C34=0,0,+E34/C34)</f>
        <v>-0.23959552346835533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2925514</v>
      </c>
      <c r="D35" s="185">
        <v>6943669</v>
      </c>
      <c r="E35" s="185">
        <f>+D35-C35</f>
        <v>4018155</v>
      </c>
      <c r="F35" s="77">
        <f>IF(C35=0,0,+E35/C35)</f>
        <v>1.3734868470976382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6806310</v>
      </c>
      <c r="D36" s="79">
        <f>+D33+D34+D35</f>
        <v>10662336</v>
      </c>
      <c r="E36" s="79">
        <f>+E33+E34+E35</f>
        <v>3856026</v>
      </c>
      <c r="F36" s="80">
        <f>IF(C36=0,0,+E36/C36)</f>
        <v>0.56653693410967176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1553798</v>
      </c>
      <c r="D39" s="76">
        <f>+D25</f>
        <v>2297057</v>
      </c>
      <c r="E39" s="76">
        <f>+D39-C39</f>
        <v>743259</v>
      </c>
      <c r="F39" s="77">
        <f>IF(C39=0,0,+E39/C39)</f>
        <v>0.47834982410841048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6806310</v>
      </c>
      <c r="D40" s="185">
        <f>+D36</f>
        <v>10662336</v>
      </c>
      <c r="E40" s="185">
        <f>+D40-C40</f>
        <v>3856026</v>
      </c>
      <c r="F40" s="77">
        <f>IF(C40=0,0,+E40/C40)</f>
        <v>0.56653693410967176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8360108</v>
      </c>
      <c r="D41" s="79">
        <f>+D39+D40</f>
        <v>12959393</v>
      </c>
      <c r="E41" s="79">
        <f>+E39+E40</f>
        <v>4599285</v>
      </c>
      <c r="F41" s="80">
        <f>IF(C41=0,0,+E41/C41)</f>
        <v>0.55014660097692514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2117116</v>
      </c>
      <c r="D43" s="76">
        <f t="shared" si="0"/>
        <v>2606996</v>
      </c>
      <c r="E43" s="76">
        <f>+D43-C43</f>
        <v>489880</v>
      </c>
      <c r="F43" s="77">
        <f>IF(C43=0,0,+E43/C43)</f>
        <v>0.2313902497548552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2898173</v>
      </c>
      <c r="D44" s="185">
        <f t="shared" si="0"/>
        <v>1912808</v>
      </c>
      <c r="E44" s="185">
        <f>+D44-C44</f>
        <v>-985365</v>
      </c>
      <c r="F44" s="77">
        <f>IF(C44=0,0,+E44/C44)</f>
        <v>-0.33999523147859012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3344819</v>
      </c>
      <c r="D45" s="185">
        <f t="shared" si="0"/>
        <v>8439589</v>
      </c>
      <c r="E45" s="185">
        <f>+D45-C45</f>
        <v>5094770</v>
      </c>
      <c r="F45" s="77">
        <f>IF(C45=0,0,+E45/C45)</f>
        <v>1.5231825698191741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8360108</v>
      </c>
      <c r="D46" s="79">
        <f>+D43+D44+D45</f>
        <v>12959393</v>
      </c>
      <c r="E46" s="79">
        <f>+E43+E44+E45</f>
        <v>4599285</v>
      </c>
      <c r="F46" s="80">
        <f>IF(C46=0,0,+E46/C46)</f>
        <v>0.55014660097692514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912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B37" sqref="B37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913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914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206779452</v>
      </c>
      <c r="D15" s="76">
        <v>224184505</v>
      </c>
      <c r="E15" s="76">
        <f>+D15-C15</f>
        <v>17405053</v>
      </c>
      <c r="F15" s="77">
        <f>IF(C15=0,0,E15/C15)</f>
        <v>8.4172062705727649E-2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118486145</v>
      </c>
      <c r="D17" s="76">
        <v>128657373</v>
      </c>
      <c r="E17" s="76">
        <f>+D17-C17</f>
        <v>10171228</v>
      </c>
      <c r="F17" s="77">
        <f>IF(C17=0,0,E17/C17)</f>
        <v>8.5843184449962487E-2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88293307</v>
      </c>
      <c r="D19" s="79">
        <f>+D15-D17</f>
        <v>95527132</v>
      </c>
      <c r="E19" s="79">
        <f>+D19-C19</f>
        <v>7233825</v>
      </c>
      <c r="F19" s="80">
        <f>IF(C19=0,0,E19/C19)</f>
        <v>8.1929483058098621E-2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0.57300734601037628</v>
      </c>
      <c r="D21" s="720">
        <f>IF(D15=0,0,D17/D15)</f>
        <v>0.57389056839588448</v>
      </c>
      <c r="E21" s="720">
        <f>+D21-C21</f>
        <v>8.8322238550819776E-4</v>
      </c>
      <c r="F21" s="80">
        <f>IF(C21=0,0,E21/C21)</f>
        <v>1.5413805628457056E-3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67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B37" sqref="B37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232383939</v>
      </c>
      <c r="D10" s="744">
        <v>219935975</v>
      </c>
      <c r="E10" s="744">
        <v>248649609</v>
      </c>
    </row>
    <row r="11" spans="1:6" ht="26.1" customHeight="1" x14ac:dyDescent="0.25">
      <c r="A11" s="742">
        <v>2</v>
      </c>
      <c r="B11" s="743" t="s">
        <v>933</v>
      </c>
      <c r="C11" s="744">
        <v>369575729</v>
      </c>
      <c r="D11" s="744">
        <v>379110519</v>
      </c>
      <c r="E11" s="744">
        <v>423046176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601959668</v>
      </c>
      <c r="D12" s="744">
        <f>+D11+D10</f>
        <v>599046494</v>
      </c>
      <c r="E12" s="744">
        <f>+E11+E10</f>
        <v>671695785</v>
      </c>
    </row>
    <row r="13" spans="1:6" ht="26.1" customHeight="1" x14ac:dyDescent="0.25">
      <c r="A13" s="742">
        <v>4</v>
      </c>
      <c r="B13" s="743" t="s">
        <v>507</v>
      </c>
      <c r="C13" s="744">
        <v>172204267</v>
      </c>
      <c r="D13" s="744">
        <v>176292453</v>
      </c>
      <c r="E13" s="744">
        <v>169801942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185309559</v>
      </c>
      <c r="D16" s="744">
        <v>179724323</v>
      </c>
      <c r="E16" s="744">
        <v>192710898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44106</v>
      </c>
      <c r="D19" s="747">
        <v>40692</v>
      </c>
      <c r="E19" s="747">
        <v>44776</v>
      </c>
    </row>
    <row r="20" spans="1:5" ht="26.1" customHeight="1" x14ac:dyDescent="0.25">
      <c r="A20" s="742">
        <v>2</v>
      </c>
      <c r="B20" s="743" t="s">
        <v>381</v>
      </c>
      <c r="C20" s="748">
        <v>9110</v>
      </c>
      <c r="D20" s="748">
        <v>8806</v>
      </c>
      <c r="E20" s="748">
        <v>9365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4.8414928649835343</v>
      </c>
      <c r="D21" s="749">
        <f>IF(D20=0,0,+D19/D20)</f>
        <v>4.6209402679990914</v>
      </c>
      <c r="E21" s="749">
        <f>IF(E20=0,0,+E19/E20)</f>
        <v>4.7812066203950883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114250.72331185504</v>
      </c>
      <c r="D22" s="748">
        <f>IF(D10=0,0,D19*(D12/D10))</f>
        <v>110834.07311536005</v>
      </c>
      <c r="E22" s="748">
        <f>IF(E10=0,0,E19*(E12/E10))</f>
        <v>120956.75754374503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23598.242628463235</v>
      </c>
      <c r="D23" s="748">
        <f>IF(D10=0,0,D20*(D12/D10))</f>
        <v>23985.177623460648</v>
      </c>
      <c r="E23" s="748">
        <f>IF(E10=0,0,E20*(E12/E10))</f>
        <v>25298.374897203237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1.1908931196487376</v>
      </c>
      <c r="D26" s="750">
        <v>1.1999761798773563</v>
      </c>
      <c r="E26" s="750">
        <v>1.2227103256807261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52525.53193522722</v>
      </c>
      <c r="D27" s="748">
        <f>D19*D26</f>
        <v>48829.430711569381</v>
      </c>
      <c r="E27" s="748">
        <f>E19*E26</f>
        <v>54748.077542680192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10849.036319999999</v>
      </c>
      <c r="D28" s="748">
        <f>D20*D26</f>
        <v>10566.990239999999</v>
      </c>
      <c r="E28" s="748">
        <f>E20*E26</f>
        <v>11450.682200000001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136060.40030697978</v>
      </c>
      <c r="D29" s="748">
        <f>D22*D26</f>
        <v>132998.24765721735</v>
      </c>
      <c r="E29" s="748">
        <f>E22*E26</f>
        <v>147895.07640959712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28102.984782038406</v>
      </c>
      <c r="D30" s="748">
        <f>D23*D26</f>
        <v>28781.641818280154</v>
      </c>
      <c r="E30" s="748">
        <f>E23*E26</f>
        <v>30932.584209752476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13648.022219199202</v>
      </c>
      <c r="D33" s="744">
        <f>IF(D19=0,0,D12/D19)</f>
        <v>14721.480733313674</v>
      </c>
      <c r="E33" s="744">
        <f>IF(E19=0,0,E12/E19)</f>
        <v>15001.245868322316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66076.802195389682</v>
      </c>
      <c r="D34" s="744">
        <f>IF(D20=0,0,D12/D20)</f>
        <v>68027.083125141944</v>
      </c>
      <c r="E34" s="744">
        <f>IF(E20=0,0,E12/E20)</f>
        <v>71724.05605979712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5268.7602367024901</v>
      </c>
      <c r="D35" s="744">
        <f>IF(D22=0,0,D12/D22)</f>
        <v>5404.8946967462889</v>
      </c>
      <c r="E35" s="744">
        <f>IF(E22=0,0,E12/E22)</f>
        <v>5553.189409505092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25508.665093304062</v>
      </c>
      <c r="D36" s="744">
        <f>IF(D23=0,0,D12/D23)</f>
        <v>24975.695548489664</v>
      </c>
      <c r="E36" s="744">
        <f>IF(E23=0,0,E12/E23)</f>
        <v>26550.945969033637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4424.209150067597</v>
      </c>
      <c r="D37" s="744">
        <f>IF(D29=0,0,D12/D29)</f>
        <v>4504.1683221567755</v>
      </c>
      <c r="E37" s="744">
        <f>IF(E29=0,0,E12/E29)</f>
        <v>4541.704844451554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21419.777033247137</v>
      </c>
      <c r="D38" s="744">
        <f>IF(D30=0,0,D12/D30)</f>
        <v>20813.492773700149</v>
      </c>
      <c r="E38" s="744">
        <f>IF(E30=0,0,E12/E30)</f>
        <v>21714.829270172217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2033.9822126612924</v>
      </c>
      <c r="D39" s="744">
        <f>IF(D22=0,0,D10/D22)</f>
        <v>1984.3714917079949</v>
      </c>
      <c r="E39" s="744">
        <f>IF(E22=0,0,E10/E22)</f>
        <v>2055.6900999109021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9847.5103701030694</v>
      </c>
      <c r="D40" s="744">
        <f>IF(D23=0,0,D10/D23)</f>
        <v>9169.6621327028988</v>
      </c>
      <c r="E40" s="744">
        <f>IF(E23=0,0,E10/E23)</f>
        <v>9828.6791151746456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3904.3274611164015</v>
      </c>
      <c r="D43" s="744">
        <f>IF(D19=0,0,D13/D19)</f>
        <v>4332.3614715423182</v>
      </c>
      <c r="E43" s="744">
        <f>IF(E19=0,0,E13/E19)</f>
        <v>3792.2534840092908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18902.773545554337</v>
      </c>
      <c r="D44" s="744">
        <f>IF(D20=0,0,D13/D20)</f>
        <v>20019.583579377697</v>
      </c>
      <c r="E44" s="744">
        <f>IF(E20=0,0,E13/E20)</f>
        <v>18131.54746396156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1507.2488121581241</v>
      </c>
      <c r="D45" s="744">
        <f>IF(D22=0,0,D13/D22)</f>
        <v>1590.5979816920428</v>
      </c>
      <c r="E45" s="744">
        <f>IF(E22=0,0,E13/E22)</f>
        <v>1403.8235270864441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7297.3343698184653</v>
      </c>
      <c r="D46" s="744">
        <f>IF(D23=0,0,D13/D23)</f>
        <v>7350.0582637988418</v>
      </c>
      <c r="E46" s="744">
        <f>IF(E23=0,0,E13/E23)</f>
        <v>6711.9703415720896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1265.6457471201934</v>
      </c>
      <c r="D47" s="744">
        <f>IF(D29=0,0,D13/D29)</f>
        <v>1325.5246298760781</v>
      </c>
      <c r="E47" s="744">
        <f>IF(E29=0,0,E13/E29)</f>
        <v>1148.1243738617204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6127.6148542791698</v>
      </c>
      <c r="D48" s="744">
        <f>IF(D30=0,0,D13/D30)</f>
        <v>6125.170138418961</v>
      </c>
      <c r="E48" s="744">
        <f>IF(E30=0,0,E13/E30)</f>
        <v>5489.4198573446238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4201.4591892259559</v>
      </c>
      <c r="D51" s="744">
        <f>IF(D19=0,0,D16/D19)</f>
        <v>4416.6991791998425</v>
      </c>
      <c r="E51" s="744">
        <f>IF(E19=0,0,E16/E19)</f>
        <v>4303.8881990351974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20341.33468715697</v>
      </c>
      <c r="D52" s="744">
        <f>IF(D20=0,0,D16/D20)</f>
        <v>20409.303088803088</v>
      </c>
      <c r="E52" s="744">
        <f>IF(E20=0,0,E16/E20)</f>
        <v>20577.778750667378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1621.9552369413461</v>
      </c>
      <c r="D53" s="744">
        <f>IF(D22=0,0,D16/D22)</f>
        <v>1621.5620156171335</v>
      </c>
      <c r="E53" s="744">
        <f>IF(E22=0,0,E16/E22)</f>
        <v>1593.2214281645611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7852.6847069742043</v>
      </c>
      <c r="D54" s="744">
        <f>IF(D23=0,0,D16/D23)</f>
        <v>7493.1412150229835</v>
      </c>
      <c r="E54" s="744">
        <f>IF(E23=0,0,E16/E23)</f>
        <v>7617.5208400957172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1361.9654108168443</v>
      </c>
      <c r="D55" s="744">
        <f>IF(D29=0,0,D16/D29)</f>
        <v>1351.3285036898528</v>
      </c>
      <c r="E55" s="744">
        <f>IF(E29=0,0,E16/E29)</f>
        <v>1303.0244324448297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6593.9458188241197</v>
      </c>
      <c r="D56" s="744">
        <f>IF(D30=0,0,D16/D30)</f>
        <v>6244.4082979954001</v>
      </c>
      <c r="E56" s="744">
        <f>IF(E30=0,0,E16/E30)</f>
        <v>6230.0290429417728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27777193</v>
      </c>
      <c r="D59" s="752">
        <v>25962525</v>
      </c>
      <c r="E59" s="752">
        <v>26061010</v>
      </c>
    </row>
    <row r="60" spans="1:6" ht="26.1" customHeight="1" x14ac:dyDescent="0.25">
      <c r="A60" s="742">
        <v>2</v>
      </c>
      <c r="B60" s="743" t="s">
        <v>969</v>
      </c>
      <c r="C60" s="752">
        <v>9385872</v>
      </c>
      <c r="D60" s="752">
        <v>8928385</v>
      </c>
      <c r="E60" s="752">
        <v>9496373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37163065</v>
      </c>
      <c r="D61" s="755">
        <f>D59+D60</f>
        <v>34890910</v>
      </c>
      <c r="E61" s="755">
        <f>E59+E60</f>
        <v>35557383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8493290</v>
      </c>
      <c r="D64" s="744">
        <v>9859566</v>
      </c>
      <c r="E64" s="752">
        <v>10119503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2686194</v>
      </c>
      <c r="D65" s="752">
        <v>3184698</v>
      </c>
      <c r="E65" s="752">
        <v>3687446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11179484</v>
      </c>
      <c r="D66" s="757">
        <f>D64+D65</f>
        <v>13044264</v>
      </c>
      <c r="E66" s="757">
        <f>E64+E65</f>
        <v>13806949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47335814</v>
      </c>
      <c r="D69" s="752">
        <v>45887361</v>
      </c>
      <c r="E69" s="752">
        <v>43947078</v>
      </c>
    </row>
    <row r="70" spans="1:6" ht="26.1" customHeight="1" x14ac:dyDescent="0.25">
      <c r="A70" s="742">
        <v>2</v>
      </c>
      <c r="B70" s="743" t="s">
        <v>977</v>
      </c>
      <c r="C70" s="752">
        <v>13648187</v>
      </c>
      <c r="D70" s="752">
        <v>13456397</v>
      </c>
      <c r="E70" s="752">
        <v>15937794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60984001</v>
      </c>
      <c r="D71" s="755">
        <f>D69+D70</f>
        <v>59343758</v>
      </c>
      <c r="E71" s="755">
        <f>E69+E70</f>
        <v>59884872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83606297</v>
      </c>
      <c r="D75" s="744">
        <f t="shared" si="0"/>
        <v>81709452</v>
      </c>
      <c r="E75" s="744">
        <f t="shared" si="0"/>
        <v>80127591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25720253</v>
      </c>
      <c r="D76" s="744">
        <f t="shared" si="0"/>
        <v>25569480</v>
      </c>
      <c r="E76" s="744">
        <f t="shared" si="0"/>
        <v>29121613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109326550</v>
      </c>
      <c r="D77" s="757">
        <f>D75+D76</f>
        <v>107278932</v>
      </c>
      <c r="E77" s="757">
        <f>E75+E76</f>
        <v>109249204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354.1</v>
      </c>
      <c r="D80" s="749">
        <v>313.7</v>
      </c>
      <c r="E80" s="749">
        <v>308.10000000000002</v>
      </c>
    </row>
    <row r="81" spans="1:5" ht="26.1" customHeight="1" x14ac:dyDescent="0.25">
      <c r="A81" s="742">
        <v>2</v>
      </c>
      <c r="B81" s="743" t="s">
        <v>617</v>
      </c>
      <c r="C81" s="749">
        <v>42.6</v>
      </c>
      <c r="D81" s="749">
        <v>51.9</v>
      </c>
      <c r="E81" s="749">
        <v>63.6</v>
      </c>
    </row>
    <row r="82" spans="1:5" ht="26.1" customHeight="1" x14ac:dyDescent="0.25">
      <c r="A82" s="742">
        <v>3</v>
      </c>
      <c r="B82" s="743" t="s">
        <v>983</v>
      </c>
      <c r="C82" s="749">
        <v>756</v>
      </c>
      <c r="D82" s="749">
        <v>769</v>
      </c>
      <c r="E82" s="749">
        <v>709.8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1152.7</v>
      </c>
      <c r="D83" s="759">
        <f>D80+D81+D82</f>
        <v>1134.5999999999999</v>
      </c>
      <c r="E83" s="759">
        <f>E80+E81+E82</f>
        <v>1081.5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78444.487432928552</v>
      </c>
      <c r="D86" s="752">
        <f>IF(D80=0,0,D59/D80)</f>
        <v>82762.27287217087</v>
      </c>
      <c r="E86" s="752">
        <f>IF(E80=0,0,E59/E80)</f>
        <v>84586.205777345007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26506.275063541372</v>
      </c>
      <c r="D87" s="752">
        <f>IF(D80=0,0,D60/D80)</f>
        <v>28461.539687599619</v>
      </c>
      <c r="E87" s="752">
        <f>IF(E80=0,0,E60/E80)</f>
        <v>30822.372606296656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104950.76249646992</v>
      </c>
      <c r="D88" s="755">
        <f>+D86+D87</f>
        <v>111223.81255977049</v>
      </c>
      <c r="E88" s="755">
        <f>+E86+E87</f>
        <v>115408.57838364167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199373.00469483566</v>
      </c>
      <c r="D91" s="744">
        <f>IF(D81=0,0,D64/D81)</f>
        <v>189972.36994219653</v>
      </c>
      <c r="E91" s="744">
        <f>IF(E81=0,0,E64/E81)</f>
        <v>159111.68238993711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63056.197183098586</v>
      </c>
      <c r="D92" s="744">
        <f>IF(D81=0,0,D65/D81)</f>
        <v>61362.196531791909</v>
      </c>
      <c r="E92" s="744">
        <f>IF(E81=0,0,E65/E81)</f>
        <v>57978.710691823901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262429.20187793428</v>
      </c>
      <c r="D93" s="757">
        <f>+D91+D92</f>
        <v>251334.56647398844</v>
      </c>
      <c r="E93" s="757">
        <f>+E91+E92</f>
        <v>217090.39308176102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62613.510582010582</v>
      </c>
      <c r="D96" s="752">
        <f>IF(D82=0,0,D69/D82)</f>
        <v>59671.470741222365</v>
      </c>
      <c r="E96" s="752">
        <f>IF(E82=0,0,E69/E82)</f>
        <v>61914.733727810657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18053.157407407409</v>
      </c>
      <c r="D97" s="752">
        <f>IF(D82=0,0,D70/D82)</f>
        <v>17498.565669700911</v>
      </c>
      <c r="E97" s="752">
        <f>IF(E82=0,0,E70/E82)</f>
        <v>22453.922231614542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80666.667989417998</v>
      </c>
      <c r="D98" s="757">
        <f>+D96+D97</f>
        <v>77170.036410923276</v>
      </c>
      <c r="E98" s="757">
        <f>+E96+E97</f>
        <v>84368.655959425203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72530.838032445565</v>
      </c>
      <c r="D101" s="744">
        <f>IF(D83=0,0,D75/D83)</f>
        <v>72016.086726599693</v>
      </c>
      <c r="E101" s="744">
        <f>IF(E83=0,0,E75/E83)</f>
        <v>74089.312066574203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22313.050229895027</v>
      </c>
      <c r="D102" s="761">
        <f>IF(D83=0,0,D76/D83)</f>
        <v>22536.118455843472</v>
      </c>
      <c r="E102" s="761">
        <f>IF(E83=0,0,E76/E83)</f>
        <v>26927.057790106333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94843.888262340595</v>
      </c>
      <c r="D103" s="757">
        <f>+D101+D102</f>
        <v>94552.205182443169</v>
      </c>
      <c r="E103" s="757">
        <f>+E101+E102</f>
        <v>101016.36985668054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2478.7228494989345</v>
      </c>
      <c r="D108" s="744">
        <f>IF(D19=0,0,D77/D19)</f>
        <v>2636.3641993512238</v>
      </c>
      <c r="E108" s="744">
        <f>IF(E19=0,0,E77/E19)</f>
        <v>2439.9053957477222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12000.718990120746</v>
      </c>
      <c r="D109" s="744">
        <f>IF(D20=0,0,D77/D20)</f>
        <v>12182.481489893255</v>
      </c>
      <c r="E109" s="744">
        <f>IF(E20=0,0,E77/E20)</f>
        <v>11665.691831286706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956.90028763831833</v>
      </c>
      <c r="D110" s="744">
        <f>IF(D22=0,0,D77/D22)</f>
        <v>967.92375290891152</v>
      </c>
      <c r="E110" s="744">
        <f>IF(E22=0,0,E77/E22)</f>
        <v>903.20876831118017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4632.82591510161</v>
      </c>
      <c r="D111" s="744">
        <f>IF(D23=0,0,D77/D23)</f>
        <v>4472.7178461695921</v>
      </c>
      <c r="E111" s="744">
        <f>IF(E23=0,0,E77/E23)</f>
        <v>4318.4277426483077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803.51483424521166</v>
      </c>
      <c r="D112" s="744">
        <f>IF(D29=0,0,D77/D29)</f>
        <v>806.61913889643904</v>
      </c>
      <c r="E112" s="744">
        <f>IF(E29=0,0,E77/E29)</f>
        <v>738.69398936197888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3890.2113369066192</v>
      </c>
      <c r="D113" s="744">
        <f>IF(D30=0,0,D77/D30)</f>
        <v>3727.3388598653073</v>
      </c>
      <c r="E113" s="744">
        <f>IF(E30=0,0,E77/E30)</f>
        <v>3531.8485923835528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68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599046490</v>
      </c>
      <c r="D12" s="76">
        <v>671695797</v>
      </c>
      <c r="E12" s="76">
        <f t="shared" ref="E12:E21" si="0">D12-C12</f>
        <v>72649307</v>
      </c>
      <c r="F12" s="77">
        <f t="shared" ref="F12:F21" si="1">IF(C12=0,0,E12/C12)</f>
        <v>0.12127490639332517</v>
      </c>
    </row>
    <row r="13" spans="1:8" ht="23.1" customHeight="1" x14ac:dyDescent="0.2">
      <c r="A13" s="74">
        <v>2</v>
      </c>
      <c r="B13" s="75" t="s">
        <v>72</v>
      </c>
      <c r="C13" s="76">
        <v>415506442</v>
      </c>
      <c r="D13" s="76">
        <v>485706333</v>
      </c>
      <c r="E13" s="76">
        <f t="shared" si="0"/>
        <v>70199891</v>
      </c>
      <c r="F13" s="77">
        <f t="shared" si="1"/>
        <v>0.16895018681804216</v>
      </c>
    </row>
    <row r="14" spans="1:8" ht="23.1" customHeight="1" x14ac:dyDescent="0.2">
      <c r="A14" s="74">
        <v>3</v>
      </c>
      <c r="B14" s="75" t="s">
        <v>73</v>
      </c>
      <c r="C14" s="76">
        <v>441285</v>
      </c>
      <c r="D14" s="76">
        <v>505744</v>
      </c>
      <c r="E14" s="76">
        <f t="shared" si="0"/>
        <v>64459</v>
      </c>
      <c r="F14" s="77">
        <f t="shared" si="1"/>
        <v>0.14607113316790737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183098763</v>
      </c>
      <c r="D16" s="79">
        <f>D12-D13-D14-D15</f>
        <v>185483720</v>
      </c>
      <c r="E16" s="79">
        <f t="shared" si="0"/>
        <v>2384957</v>
      </c>
      <c r="F16" s="80">
        <f t="shared" si="1"/>
        <v>1.30255221877168E-2</v>
      </c>
    </row>
    <row r="17" spans="1:7" ht="23.1" customHeight="1" x14ac:dyDescent="0.2">
      <c r="A17" s="74">
        <v>5</v>
      </c>
      <c r="B17" s="75" t="s">
        <v>76</v>
      </c>
      <c r="C17" s="76">
        <v>6806310</v>
      </c>
      <c r="D17" s="76">
        <v>15681778</v>
      </c>
      <c r="E17" s="76">
        <f t="shared" si="0"/>
        <v>8875468</v>
      </c>
      <c r="F17" s="77">
        <f t="shared" si="1"/>
        <v>1.3040058416381271</v>
      </c>
      <c r="G17" s="65"/>
    </row>
    <row r="18" spans="1:7" ht="31.5" customHeight="1" x14ac:dyDescent="0.25">
      <c r="A18" s="71"/>
      <c r="B18" s="81" t="s">
        <v>77</v>
      </c>
      <c r="C18" s="79">
        <f>C16-C17</f>
        <v>176292453</v>
      </c>
      <c r="D18" s="79">
        <f>D16-D17</f>
        <v>169801942</v>
      </c>
      <c r="E18" s="79">
        <f t="shared" si="0"/>
        <v>-6490511</v>
      </c>
      <c r="F18" s="80">
        <f t="shared" si="1"/>
        <v>-3.6816726351864879E-2</v>
      </c>
    </row>
    <row r="19" spans="1:7" ht="23.1" customHeight="1" x14ac:dyDescent="0.2">
      <c r="A19" s="74">
        <v>6</v>
      </c>
      <c r="B19" s="75" t="s">
        <v>78</v>
      </c>
      <c r="C19" s="76">
        <v>11796424</v>
      </c>
      <c r="D19" s="76">
        <v>9635436</v>
      </c>
      <c r="E19" s="76">
        <f t="shared" si="0"/>
        <v>-2160988</v>
      </c>
      <c r="F19" s="77">
        <f t="shared" si="1"/>
        <v>-0.18319009218386861</v>
      </c>
      <c r="G19" s="65"/>
    </row>
    <row r="20" spans="1:7" ht="33" customHeight="1" x14ac:dyDescent="0.2">
      <c r="A20" s="74">
        <v>7</v>
      </c>
      <c r="B20" s="82" t="s">
        <v>79</v>
      </c>
      <c r="C20" s="76">
        <v>590724</v>
      </c>
      <c r="D20" s="76">
        <v>455138</v>
      </c>
      <c r="E20" s="76">
        <f t="shared" si="0"/>
        <v>-135586</v>
      </c>
      <c r="F20" s="77">
        <f t="shared" si="1"/>
        <v>-0.22952512510072387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188679601</v>
      </c>
      <c r="D21" s="79">
        <f>SUM(D18:D20)</f>
        <v>179892516</v>
      </c>
      <c r="E21" s="79">
        <f t="shared" si="0"/>
        <v>-8787085</v>
      </c>
      <c r="F21" s="80">
        <f t="shared" si="1"/>
        <v>-4.6571462698821377E-2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81709452</v>
      </c>
      <c r="D24" s="76">
        <v>80127591</v>
      </c>
      <c r="E24" s="76">
        <f t="shared" ref="E24:E33" si="2">D24-C24</f>
        <v>-1581861</v>
      </c>
      <c r="F24" s="77">
        <f t="shared" ref="F24:F33" si="3">IF(C24=0,0,E24/C24)</f>
        <v>-1.9359584005042649E-2</v>
      </c>
    </row>
    <row r="25" spans="1:7" ht="23.1" customHeight="1" x14ac:dyDescent="0.2">
      <c r="A25" s="74">
        <v>2</v>
      </c>
      <c r="B25" s="75" t="s">
        <v>83</v>
      </c>
      <c r="C25" s="76">
        <v>25569480</v>
      </c>
      <c r="D25" s="76">
        <v>29121613</v>
      </c>
      <c r="E25" s="76">
        <f t="shared" si="2"/>
        <v>3552133</v>
      </c>
      <c r="F25" s="77">
        <f t="shared" si="3"/>
        <v>0.13892081497159894</v>
      </c>
    </row>
    <row r="26" spans="1:7" ht="23.1" customHeight="1" x14ac:dyDescent="0.2">
      <c r="A26" s="74">
        <v>3</v>
      </c>
      <c r="B26" s="75" t="s">
        <v>84</v>
      </c>
      <c r="C26" s="76">
        <v>10079421</v>
      </c>
      <c r="D26" s="76">
        <v>9966849</v>
      </c>
      <c r="E26" s="76">
        <f t="shared" si="2"/>
        <v>-112572</v>
      </c>
      <c r="F26" s="77">
        <f t="shared" si="3"/>
        <v>-1.1168498666738892E-2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25592839</v>
      </c>
      <c r="D27" s="76">
        <v>26267990</v>
      </c>
      <c r="E27" s="76">
        <f t="shared" si="2"/>
        <v>675151</v>
      </c>
      <c r="F27" s="77">
        <f t="shared" si="3"/>
        <v>2.6380465254362752E-2</v>
      </c>
    </row>
    <row r="28" spans="1:7" ht="23.1" customHeight="1" x14ac:dyDescent="0.2">
      <c r="A28" s="74">
        <v>5</v>
      </c>
      <c r="B28" s="75" t="s">
        <v>86</v>
      </c>
      <c r="C28" s="76">
        <v>7116439</v>
      </c>
      <c r="D28" s="76">
        <v>7214356</v>
      </c>
      <c r="E28" s="76">
        <f t="shared" si="2"/>
        <v>97917</v>
      </c>
      <c r="F28" s="77">
        <f t="shared" si="3"/>
        <v>1.3759269207534836E-2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2358063</v>
      </c>
      <c r="D30" s="76">
        <v>2266813</v>
      </c>
      <c r="E30" s="76">
        <f t="shared" si="2"/>
        <v>-91250</v>
      </c>
      <c r="F30" s="77">
        <f t="shared" si="3"/>
        <v>-3.8697015304510522E-2</v>
      </c>
    </row>
    <row r="31" spans="1:7" ht="23.1" customHeight="1" x14ac:dyDescent="0.2">
      <c r="A31" s="74">
        <v>8</v>
      </c>
      <c r="B31" s="75" t="s">
        <v>89</v>
      </c>
      <c r="C31" s="76">
        <v>2115210</v>
      </c>
      <c r="D31" s="76">
        <v>6915619</v>
      </c>
      <c r="E31" s="76">
        <f t="shared" si="2"/>
        <v>4800409</v>
      </c>
      <c r="F31" s="77">
        <f t="shared" si="3"/>
        <v>2.2694715891093558</v>
      </c>
    </row>
    <row r="32" spans="1:7" ht="23.1" customHeight="1" x14ac:dyDescent="0.2">
      <c r="A32" s="74">
        <v>9</v>
      </c>
      <c r="B32" s="75" t="s">
        <v>90</v>
      </c>
      <c r="C32" s="76">
        <v>25183419</v>
      </c>
      <c r="D32" s="76">
        <v>30830067</v>
      </c>
      <c r="E32" s="76">
        <f t="shared" si="2"/>
        <v>5646648</v>
      </c>
      <c r="F32" s="77">
        <f t="shared" si="3"/>
        <v>0.22422086532412458</v>
      </c>
    </row>
    <row r="33" spans="1:6" ht="23.1" customHeight="1" x14ac:dyDescent="0.25">
      <c r="A33" s="71"/>
      <c r="B33" s="78" t="s">
        <v>91</v>
      </c>
      <c r="C33" s="79">
        <f>SUM(C24:C32)</f>
        <v>179724323</v>
      </c>
      <c r="D33" s="79">
        <f>SUM(D24:D32)</f>
        <v>192710898</v>
      </c>
      <c r="E33" s="79">
        <f t="shared" si="2"/>
        <v>12986575</v>
      </c>
      <c r="F33" s="80">
        <f t="shared" si="3"/>
        <v>7.2258305293491074E-2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8955278</v>
      </c>
      <c r="D35" s="79">
        <f>+D21-D33</f>
        <v>-12818382</v>
      </c>
      <c r="E35" s="79">
        <f>D35-C35</f>
        <v>-21773660</v>
      </c>
      <c r="F35" s="80">
        <f>IF(C35=0,0,E35/C35)</f>
        <v>-2.4313773397096106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-1638670</v>
      </c>
      <c r="D40" s="76">
        <v>-3154786</v>
      </c>
      <c r="E40" s="76">
        <f>D40-C40</f>
        <v>-1516116</v>
      </c>
      <c r="F40" s="77">
        <f>IF(C40=0,0,E40/C40)</f>
        <v>0.92521129940744629</v>
      </c>
    </row>
    <row r="41" spans="1:6" ht="23.1" customHeight="1" x14ac:dyDescent="0.25">
      <c r="A41" s="83"/>
      <c r="B41" s="78" t="s">
        <v>97</v>
      </c>
      <c r="C41" s="79">
        <f>SUM(C38:C40)</f>
        <v>-1638670</v>
      </c>
      <c r="D41" s="79">
        <f>SUM(D38:D40)</f>
        <v>-3154786</v>
      </c>
      <c r="E41" s="79">
        <f>D41-C41</f>
        <v>-1516116</v>
      </c>
      <c r="F41" s="80">
        <f>IF(C41=0,0,E41/C41)</f>
        <v>0.92521129940744629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7316608</v>
      </c>
      <c r="D43" s="79">
        <f>D35+D41</f>
        <v>-15973168</v>
      </c>
      <c r="E43" s="79">
        <f>D43-C43</f>
        <v>-23289776</v>
      </c>
      <c r="F43" s="80">
        <f>IF(C43=0,0,E43/C43)</f>
        <v>-3.1831384160529033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7316608</v>
      </c>
      <c r="D50" s="79">
        <f>D43+D48</f>
        <v>-15973168</v>
      </c>
      <c r="E50" s="79">
        <f>D50-C50</f>
        <v>-23289776</v>
      </c>
      <c r="F50" s="80">
        <f>IF(C50=0,0,E50/C50)</f>
        <v>-3.1831384160529033</v>
      </c>
    </row>
    <row r="51" spans="1:6" ht="23.1" customHeight="1" x14ac:dyDescent="0.2">
      <c r="A51" s="85"/>
      <c r="B51" s="75" t="s">
        <v>104</v>
      </c>
      <c r="C51" s="76">
        <v>6201186</v>
      </c>
      <c r="D51" s="76">
        <v>52327385</v>
      </c>
      <c r="E51" s="76">
        <f>D51-C51</f>
        <v>46126199</v>
      </c>
      <c r="F51" s="77">
        <f>IF(C51=0,0,E51/C51)</f>
        <v>7.4382866438774773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62" fitToWidth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B37" sqref="B37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90215368</v>
      </c>
      <c r="D14" s="113">
        <v>100288177</v>
      </c>
      <c r="E14" s="113">
        <f t="shared" ref="E14:E25" si="0">D14-C14</f>
        <v>10072809</v>
      </c>
      <c r="F14" s="114">
        <f t="shared" ref="F14:F25" si="1">IF(C14=0,0,E14/C14)</f>
        <v>0.11165291705067368</v>
      </c>
    </row>
    <row r="15" spans="1:6" x14ac:dyDescent="0.2">
      <c r="A15" s="115">
        <v>2</v>
      </c>
      <c r="B15" s="116" t="s">
        <v>114</v>
      </c>
      <c r="C15" s="113">
        <v>27193044</v>
      </c>
      <c r="D15" s="113">
        <v>29286264</v>
      </c>
      <c r="E15" s="113">
        <f t="shared" si="0"/>
        <v>2093220</v>
      </c>
      <c r="F15" s="114">
        <f t="shared" si="1"/>
        <v>7.6976303204598945E-2</v>
      </c>
    </row>
    <row r="16" spans="1:6" x14ac:dyDescent="0.2">
      <c r="A16" s="115">
        <v>3</v>
      </c>
      <c r="B16" s="116" t="s">
        <v>115</v>
      </c>
      <c r="C16" s="113">
        <v>45897932</v>
      </c>
      <c r="D16" s="113">
        <v>53860591</v>
      </c>
      <c r="E16" s="113">
        <f t="shared" si="0"/>
        <v>7962659</v>
      </c>
      <c r="F16" s="114">
        <f t="shared" si="1"/>
        <v>0.17348622591536367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1605652</v>
      </c>
      <c r="D18" s="113">
        <v>1102245</v>
      </c>
      <c r="E18" s="113">
        <f t="shared" si="0"/>
        <v>-503407</v>
      </c>
      <c r="F18" s="114">
        <f t="shared" si="1"/>
        <v>-0.31352185903296603</v>
      </c>
    </row>
    <row r="19" spans="1:6" x14ac:dyDescent="0.2">
      <c r="A19" s="115">
        <v>6</v>
      </c>
      <c r="B19" s="116" t="s">
        <v>118</v>
      </c>
      <c r="C19" s="113">
        <v>2940111</v>
      </c>
      <c r="D19" s="113">
        <v>4112897</v>
      </c>
      <c r="E19" s="113">
        <f t="shared" si="0"/>
        <v>1172786</v>
      </c>
      <c r="F19" s="114">
        <f t="shared" si="1"/>
        <v>0.39889174252264625</v>
      </c>
    </row>
    <row r="20" spans="1:6" x14ac:dyDescent="0.2">
      <c r="A20" s="115">
        <v>7</v>
      </c>
      <c r="B20" s="116" t="s">
        <v>119</v>
      </c>
      <c r="C20" s="113">
        <v>50629928</v>
      </c>
      <c r="D20" s="113">
        <v>57775680</v>
      </c>
      <c r="E20" s="113">
        <f t="shared" si="0"/>
        <v>7145752</v>
      </c>
      <c r="F20" s="114">
        <f t="shared" si="1"/>
        <v>0.1411369180694865</v>
      </c>
    </row>
    <row r="21" spans="1:6" x14ac:dyDescent="0.2">
      <c r="A21" s="115">
        <v>8</v>
      </c>
      <c r="B21" s="116" t="s">
        <v>120</v>
      </c>
      <c r="C21" s="113">
        <v>217879</v>
      </c>
      <c r="D21" s="113">
        <v>363389</v>
      </c>
      <c r="E21" s="113">
        <f t="shared" si="0"/>
        <v>145510</v>
      </c>
      <c r="F21" s="114">
        <f t="shared" si="1"/>
        <v>0.6678477503568494</v>
      </c>
    </row>
    <row r="22" spans="1:6" x14ac:dyDescent="0.2">
      <c r="A22" s="115">
        <v>9</v>
      </c>
      <c r="B22" s="116" t="s">
        <v>121</v>
      </c>
      <c r="C22" s="113">
        <v>1236061</v>
      </c>
      <c r="D22" s="113">
        <v>1860366</v>
      </c>
      <c r="E22" s="113">
        <f t="shared" si="0"/>
        <v>624305</v>
      </c>
      <c r="F22" s="114">
        <f t="shared" si="1"/>
        <v>0.50507620578596035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219935975</v>
      </c>
      <c r="D25" s="119">
        <f>SUM(D14:D24)</f>
        <v>248649609</v>
      </c>
      <c r="E25" s="119">
        <f t="shared" si="0"/>
        <v>28713634</v>
      </c>
      <c r="F25" s="120">
        <f t="shared" si="1"/>
        <v>0.13055451251210723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98600537</v>
      </c>
      <c r="D27" s="113">
        <v>110819369</v>
      </c>
      <c r="E27" s="113">
        <f t="shared" ref="E27:E38" si="2">D27-C27</f>
        <v>12218832</v>
      </c>
      <c r="F27" s="114">
        <f t="shared" ref="F27:F38" si="3">IF(C27=0,0,E27/C27)</f>
        <v>0.12392257052311997</v>
      </c>
    </row>
    <row r="28" spans="1:6" x14ac:dyDescent="0.2">
      <c r="A28" s="115">
        <v>2</v>
      </c>
      <c r="B28" s="116" t="s">
        <v>114</v>
      </c>
      <c r="C28" s="113">
        <v>41061130</v>
      </c>
      <c r="D28" s="113">
        <v>47307863</v>
      </c>
      <c r="E28" s="113">
        <f t="shared" si="2"/>
        <v>6246733</v>
      </c>
      <c r="F28" s="114">
        <f t="shared" si="3"/>
        <v>0.15213251559321431</v>
      </c>
    </row>
    <row r="29" spans="1:6" x14ac:dyDescent="0.2">
      <c r="A29" s="115">
        <v>3</v>
      </c>
      <c r="B29" s="116" t="s">
        <v>115</v>
      </c>
      <c r="C29" s="113">
        <v>85970911</v>
      </c>
      <c r="D29" s="113">
        <v>92970433</v>
      </c>
      <c r="E29" s="113">
        <f t="shared" si="2"/>
        <v>6999522</v>
      </c>
      <c r="F29" s="114">
        <f t="shared" si="3"/>
        <v>8.1417329636067251E-2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1722468</v>
      </c>
      <c r="D31" s="113">
        <v>1712326</v>
      </c>
      <c r="E31" s="113">
        <f t="shared" si="2"/>
        <v>-10142</v>
      </c>
      <c r="F31" s="114">
        <f t="shared" si="3"/>
        <v>-5.8880629422433392E-3</v>
      </c>
    </row>
    <row r="32" spans="1:6" x14ac:dyDescent="0.2">
      <c r="A32" s="115">
        <v>6</v>
      </c>
      <c r="B32" s="116" t="s">
        <v>118</v>
      </c>
      <c r="C32" s="113">
        <v>5553869</v>
      </c>
      <c r="D32" s="113">
        <v>7582792</v>
      </c>
      <c r="E32" s="113">
        <f t="shared" si="2"/>
        <v>2028923</v>
      </c>
      <c r="F32" s="114">
        <f t="shared" si="3"/>
        <v>0.36531704294789813</v>
      </c>
    </row>
    <row r="33" spans="1:6" x14ac:dyDescent="0.2">
      <c r="A33" s="115">
        <v>7</v>
      </c>
      <c r="B33" s="116" t="s">
        <v>119</v>
      </c>
      <c r="C33" s="113">
        <v>134361286</v>
      </c>
      <c r="D33" s="113">
        <v>149661598</v>
      </c>
      <c r="E33" s="113">
        <f t="shared" si="2"/>
        <v>15300312</v>
      </c>
      <c r="F33" s="114">
        <f t="shared" si="3"/>
        <v>0.11387440873407538</v>
      </c>
    </row>
    <row r="34" spans="1:6" x14ac:dyDescent="0.2">
      <c r="A34" s="115">
        <v>8</v>
      </c>
      <c r="B34" s="116" t="s">
        <v>120</v>
      </c>
      <c r="C34" s="113">
        <v>4536273</v>
      </c>
      <c r="D34" s="113">
        <v>4688149</v>
      </c>
      <c r="E34" s="113">
        <f t="shared" si="2"/>
        <v>151876</v>
      </c>
      <c r="F34" s="114">
        <f t="shared" si="3"/>
        <v>3.3480348294734466E-2</v>
      </c>
    </row>
    <row r="35" spans="1:6" x14ac:dyDescent="0.2">
      <c r="A35" s="115">
        <v>9</v>
      </c>
      <c r="B35" s="116" t="s">
        <v>121</v>
      </c>
      <c r="C35" s="113">
        <v>7304045</v>
      </c>
      <c r="D35" s="113">
        <v>8303646</v>
      </c>
      <c r="E35" s="113">
        <f t="shared" si="2"/>
        <v>999601</v>
      </c>
      <c r="F35" s="114">
        <f t="shared" si="3"/>
        <v>0.13685581071858127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379110519</v>
      </c>
      <c r="D38" s="119">
        <f>SUM(D27:D37)</f>
        <v>423046176</v>
      </c>
      <c r="E38" s="119">
        <f t="shared" si="2"/>
        <v>43935657</v>
      </c>
      <c r="F38" s="120">
        <f t="shared" si="3"/>
        <v>0.11589142162525963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188815905</v>
      </c>
      <c r="D41" s="119">
        <f t="shared" si="4"/>
        <v>211107546</v>
      </c>
      <c r="E41" s="123">
        <f t="shared" ref="E41:E52" si="5">D41-C41</f>
        <v>22291641</v>
      </c>
      <c r="F41" s="124">
        <f t="shared" ref="F41:F52" si="6">IF(C41=0,0,E41/C41)</f>
        <v>0.11806018671996937</v>
      </c>
    </row>
    <row r="42" spans="1:6" ht="15.75" x14ac:dyDescent="0.25">
      <c r="A42" s="121">
        <v>2</v>
      </c>
      <c r="B42" s="122" t="s">
        <v>114</v>
      </c>
      <c r="C42" s="119">
        <f t="shared" si="4"/>
        <v>68254174</v>
      </c>
      <c r="D42" s="119">
        <f t="shared" si="4"/>
        <v>76594127</v>
      </c>
      <c r="E42" s="123">
        <f t="shared" si="5"/>
        <v>8339953</v>
      </c>
      <c r="F42" s="124">
        <f t="shared" si="6"/>
        <v>0.12218964073904111</v>
      </c>
    </row>
    <row r="43" spans="1:6" ht="15.75" x14ac:dyDescent="0.25">
      <c r="A43" s="121">
        <v>3</v>
      </c>
      <c r="B43" s="122" t="s">
        <v>115</v>
      </c>
      <c r="C43" s="119">
        <f t="shared" si="4"/>
        <v>131868843</v>
      </c>
      <c r="D43" s="119">
        <f t="shared" si="4"/>
        <v>146831024</v>
      </c>
      <c r="E43" s="123">
        <f t="shared" si="5"/>
        <v>14962181</v>
      </c>
      <c r="F43" s="124">
        <f t="shared" si="6"/>
        <v>0.11346259404126265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3328120</v>
      </c>
      <c r="D45" s="119">
        <f t="shared" si="4"/>
        <v>2814571</v>
      </c>
      <c r="E45" s="123">
        <f t="shared" si="5"/>
        <v>-513549</v>
      </c>
      <c r="F45" s="124">
        <f t="shared" si="6"/>
        <v>-0.15430603463817411</v>
      </c>
    </row>
    <row r="46" spans="1:6" ht="15.75" x14ac:dyDescent="0.25">
      <c r="A46" s="121">
        <v>6</v>
      </c>
      <c r="B46" s="122" t="s">
        <v>118</v>
      </c>
      <c r="C46" s="119">
        <f t="shared" si="4"/>
        <v>8493980</v>
      </c>
      <c r="D46" s="119">
        <f t="shared" si="4"/>
        <v>11695689</v>
      </c>
      <c r="E46" s="123">
        <f t="shared" si="5"/>
        <v>3201709</v>
      </c>
      <c r="F46" s="124">
        <f t="shared" si="6"/>
        <v>0.37693860828492648</v>
      </c>
    </row>
    <row r="47" spans="1:6" ht="15.75" x14ac:dyDescent="0.25">
      <c r="A47" s="121">
        <v>7</v>
      </c>
      <c r="B47" s="122" t="s">
        <v>119</v>
      </c>
      <c r="C47" s="119">
        <f t="shared" si="4"/>
        <v>184991214</v>
      </c>
      <c r="D47" s="119">
        <f t="shared" si="4"/>
        <v>207437278</v>
      </c>
      <c r="E47" s="123">
        <f t="shared" si="5"/>
        <v>22446064</v>
      </c>
      <c r="F47" s="124">
        <f t="shared" si="6"/>
        <v>0.12133583814418343</v>
      </c>
    </row>
    <row r="48" spans="1:6" ht="15.75" x14ac:dyDescent="0.25">
      <c r="A48" s="121">
        <v>8</v>
      </c>
      <c r="B48" s="122" t="s">
        <v>120</v>
      </c>
      <c r="C48" s="119">
        <f t="shared" si="4"/>
        <v>4754152</v>
      </c>
      <c r="D48" s="119">
        <f t="shared" si="4"/>
        <v>5051538</v>
      </c>
      <c r="E48" s="123">
        <f t="shared" si="5"/>
        <v>297386</v>
      </c>
      <c r="F48" s="124">
        <f t="shared" si="6"/>
        <v>6.2552901127267288E-2</v>
      </c>
    </row>
    <row r="49" spans="1:6" ht="15.75" x14ac:dyDescent="0.25">
      <c r="A49" s="121">
        <v>9</v>
      </c>
      <c r="B49" s="122" t="s">
        <v>121</v>
      </c>
      <c r="C49" s="119">
        <f t="shared" si="4"/>
        <v>8540106</v>
      </c>
      <c r="D49" s="119">
        <f t="shared" si="4"/>
        <v>10164012</v>
      </c>
      <c r="E49" s="123">
        <f t="shared" si="5"/>
        <v>1623906</v>
      </c>
      <c r="F49" s="124">
        <f t="shared" si="6"/>
        <v>0.19015056721778395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599046494</v>
      </c>
      <c r="D52" s="128">
        <f>SUM(D41:D51)</f>
        <v>671695785</v>
      </c>
      <c r="E52" s="127">
        <f t="shared" si="5"/>
        <v>72649291</v>
      </c>
      <c r="F52" s="129">
        <f t="shared" si="6"/>
        <v>0.12127487887442673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28371324</v>
      </c>
      <c r="D57" s="113">
        <v>23207770</v>
      </c>
      <c r="E57" s="113">
        <f t="shared" ref="E57:E68" si="7">D57-C57</f>
        <v>-5163554</v>
      </c>
      <c r="F57" s="114">
        <f t="shared" ref="F57:F68" si="8">IF(C57=0,0,E57/C57)</f>
        <v>-0.18199904946276035</v>
      </c>
    </row>
    <row r="58" spans="1:6" x14ac:dyDescent="0.2">
      <c r="A58" s="115">
        <v>2</v>
      </c>
      <c r="B58" s="116" t="s">
        <v>114</v>
      </c>
      <c r="C58" s="113">
        <v>7255653</v>
      </c>
      <c r="D58" s="113">
        <v>7999832</v>
      </c>
      <c r="E58" s="113">
        <f t="shared" si="7"/>
        <v>744179</v>
      </c>
      <c r="F58" s="114">
        <f t="shared" si="8"/>
        <v>0.10256540658711215</v>
      </c>
    </row>
    <row r="59" spans="1:6" x14ac:dyDescent="0.2">
      <c r="A59" s="115">
        <v>3</v>
      </c>
      <c r="B59" s="116" t="s">
        <v>115</v>
      </c>
      <c r="C59" s="113">
        <v>13073310</v>
      </c>
      <c r="D59" s="113">
        <v>12202801</v>
      </c>
      <c r="E59" s="113">
        <f t="shared" si="7"/>
        <v>-870509</v>
      </c>
      <c r="F59" s="114">
        <f t="shared" si="8"/>
        <v>-6.6586732816708238E-2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345852</v>
      </c>
      <c r="D61" s="113">
        <v>397107</v>
      </c>
      <c r="E61" s="113">
        <f t="shared" si="7"/>
        <v>51255</v>
      </c>
      <c r="F61" s="114">
        <f t="shared" si="8"/>
        <v>0.14819922972832308</v>
      </c>
    </row>
    <row r="62" spans="1:6" x14ac:dyDescent="0.2">
      <c r="A62" s="115">
        <v>6</v>
      </c>
      <c r="B62" s="116" t="s">
        <v>118</v>
      </c>
      <c r="C62" s="113">
        <v>1457410</v>
      </c>
      <c r="D62" s="113">
        <v>2118268</v>
      </c>
      <c r="E62" s="113">
        <f t="shared" si="7"/>
        <v>660858</v>
      </c>
      <c r="F62" s="114">
        <f t="shared" si="8"/>
        <v>0.45344686807418638</v>
      </c>
    </row>
    <row r="63" spans="1:6" x14ac:dyDescent="0.2">
      <c r="A63" s="115">
        <v>7</v>
      </c>
      <c r="B63" s="116" t="s">
        <v>119</v>
      </c>
      <c r="C63" s="113">
        <v>25514170</v>
      </c>
      <c r="D63" s="113">
        <v>26431714</v>
      </c>
      <c r="E63" s="113">
        <f t="shared" si="7"/>
        <v>917544</v>
      </c>
      <c r="F63" s="114">
        <f t="shared" si="8"/>
        <v>3.5962133982802499E-2</v>
      </c>
    </row>
    <row r="64" spans="1:6" x14ac:dyDescent="0.2">
      <c r="A64" s="115">
        <v>8</v>
      </c>
      <c r="B64" s="116" t="s">
        <v>120</v>
      </c>
      <c r="C64" s="113">
        <v>153971</v>
      </c>
      <c r="D64" s="113">
        <v>205909</v>
      </c>
      <c r="E64" s="113">
        <f t="shared" si="7"/>
        <v>51938</v>
      </c>
      <c r="F64" s="114">
        <f t="shared" si="8"/>
        <v>0.33732326217274683</v>
      </c>
    </row>
    <row r="65" spans="1:6" x14ac:dyDescent="0.2">
      <c r="A65" s="115">
        <v>9</v>
      </c>
      <c r="B65" s="116" t="s">
        <v>121</v>
      </c>
      <c r="C65" s="113">
        <v>43966</v>
      </c>
      <c r="D65" s="113">
        <v>0</v>
      </c>
      <c r="E65" s="113">
        <f t="shared" si="7"/>
        <v>-43966</v>
      </c>
      <c r="F65" s="114">
        <f t="shared" si="8"/>
        <v>-1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76215656</v>
      </c>
      <c r="D68" s="119">
        <f>SUM(D57:D67)</f>
        <v>72563401</v>
      </c>
      <c r="E68" s="119">
        <f t="shared" si="7"/>
        <v>-3652255</v>
      </c>
      <c r="F68" s="120">
        <f t="shared" si="8"/>
        <v>-4.7920010030485072E-2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19801007</v>
      </c>
      <c r="D70" s="113">
        <v>20768952</v>
      </c>
      <c r="E70" s="113">
        <f t="shared" ref="E70:E81" si="9">D70-C70</f>
        <v>967945</v>
      </c>
      <c r="F70" s="114">
        <f t="shared" ref="F70:F81" si="10">IF(C70=0,0,E70/C70)</f>
        <v>4.888362495907405E-2</v>
      </c>
    </row>
    <row r="71" spans="1:6" x14ac:dyDescent="0.2">
      <c r="A71" s="115">
        <v>2</v>
      </c>
      <c r="B71" s="116" t="s">
        <v>114</v>
      </c>
      <c r="C71" s="113">
        <v>7798078</v>
      </c>
      <c r="D71" s="113">
        <v>10354621</v>
      </c>
      <c r="E71" s="113">
        <f t="shared" si="9"/>
        <v>2556543</v>
      </c>
      <c r="F71" s="114">
        <f t="shared" si="10"/>
        <v>0.3278427068823882</v>
      </c>
    </row>
    <row r="72" spans="1:6" x14ac:dyDescent="0.2">
      <c r="A72" s="115">
        <v>3</v>
      </c>
      <c r="B72" s="116" t="s">
        <v>115</v>
      </c>
      <c r="C72" s="113">
        <v>16314131</v>
      </c>
      <c r="D72" s="113">
        <v>18481746</v>
      </c>
      <c r="E72" s="113">
        <f t="shared" si="9"/>
        <v>2167615</v>
      </c>
      <c r="F72" s="114">
        <f t="shared" si="10"/>
        <v>0.13286732833026779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369044</v>
      </c>
      <c r="D74" s="113">
        <v>508217</v>
      </c>
      <c r="E74" s="113">
        <f t="shared" si="9"/>
        <v>139173</v>
      </c>
      <c r="F74" s="114">
        <f t="shared" si="10"/>
        <v>0.37711763366969792</v>
      </c>
    </row>
    <row r="75" spans="1:6" x14ac:dyDescent="0.2">
      <c r="A75" s="115">
        <v>6</v>
      </c>
      <c r="B75" s="116" t="s">
        <v>118</v>
      </c>
      <c r="C75" s="113">
        <v>2660688</v>
      </c>
      <c r="D75" s="113">
        <v>4180897</v>
      </c>
      <c r="E75" s="113">
        <f t="shared" si="9"/>
        <v>1520209</v>
      </c>
      <c r="F75" s="114">
        <f t="shared" si="10"/>
        <v>0.57135936269115362</v>
      </c>
    </row>
    <row r="76" spans="1:6" x14ac:dyDescent="0.2">
      <c r="A76" s="115">
        <v>7</v>
      </c>
      <c r="B76" s="116" t="s">
        <v>119</v>
      </c>
      <c r="C76" s="113">
        <v>55877949</v>
      </c>
      <c r="D76" s="113">
        <v>59077072</v>
      </c>
      <c r="E76" s="113">
        <f t="shared" si="9"/>
        <v>3199123</v>
      </c>
      <c r="F76" s="114">
        <f t="shared" si="10"/>
        <v>5.7251976088098726E-2</v>
      </c>
    </row>
    <row r="77" spans="1:6" x14ac:dyDescent="0.2">
      <c r="A77" s="115">
        <v>8</v>
      </c>
      <c r="B77" s="116" t="s">
        <v>120</v>
      </c>
      <c r="C77" s="113">
        <v>2279533</v>
      </c>
      <c r="D77" s="113">
        <v>1863710</v>
      </c>
      <c r="E77" s="113">
        <f t="shared" si="9"/>
        <v>-415823</v>
      </c>
      <c r="F77" s="114">
        <f t="shared" si="10"/>
        <v>-0.18241587202290996</v>
      </c>
    </row>
    <row r="78" spans="1:6" x14ac:dyDescent="0.2">
      <c r="A78" s="115">
        <v>9</v>
      </c>
      <c r="B78" s="116" t="s">
        <v>121</v>
      </c>
      <c r="C78" s="113">
        <v>305620</v>
      </c>
      <c r="D78" s="113">
        <v>0</v>
      </c>
      <c r="E78" s="113">
        <f t="shared" si="9"/>
        <v>-305620</v>
      </c>
      <c r="F78" s="114">
        <f t="shared" si="10"/>
        <v>-1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105406050</v>
      </c>
      <c r="D81" s="119">
        <f>SUM(D70:D80)</f>
        <v>115235215</v>
      </c>
      <c r="E81" s="119">
        <f t="shared" si="9"/>
        <v>9829165</v>
      </c>
      <c r="F81" s="120">
        <f t="shared" si="10"/>
        <v>9.3250482301537721E-2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48172331</v>
      </c>
      <c r="D84" s="119">
        <f t="shared" si="11"/>
        <v>43976722</v>
      </c>
      <c r="E84" s="119">
        <f t="shared" ref="E84:E95" si="12">D84-C84</f>
        <v>-4195609</v>
      </c>
      <c r="F84" s="120">
        <f t="shared" ref="F84:F95" si="13">IF(C84=0,0,E84/C84)</f>
        <v>-8.7095826855461911E-2</v>
      </c>
    </row>
    <row r="85" spans="1:6" ht="15.75" x14ac:dyDescent="0.25">
      <c r="A85" s="130">
        <v>2</v>
      </c>
      <c r="B85" s="122" t="s">
        <v>114</v>
      </c>
      <c r="C85" s="119">
        <f t="shared" si="11"/>
        <v>15053731</v>
      </c>
      <c r="D85" s="119">
        <f t="shared" si="11"/>
        <v>18354453</v>
      </c>
      <c r="E85" s="119">
        <f t="shared" si="12"/>
        <v>3300722</v>
      </c>
      <c r="F85" s="120">
        <f t="shared" si="13"/>
        <v>0.219262719654018</v>
      </c>
    </row>
    <row r="86" spans="1:6" ht="15.75" x14ac:dyDescent="0.25">
      <c r="A86" s="130">
        <v>3</v>
      </c>
      <c r="B86" s="122" t="s">
        <v>115</v>
      </c>
      <c r="C86" s="119">
        <f t="shared" si="11"/>
        <v>29387441</v>
      </c>
      <c r="D86" s="119">
        <f t="shared" si="11"/>
        <v>30684547</v>
      </c>
      <c r="E86" s="119">
        <f t="shared" si="12"/>
        <v>1297106</v>
      </c>
      <c r="F86" s="120">
        <f t="shared" si="13"/>
        <v>4.4138106478886677E-2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714896</v>
      </c>
      <c r="D88" s="119">
        <f t="shared" si="11"/>
        <v>905324</v>
      </c>
      <c r="E88" s="119">
        <f t="shared" si="12"/>
        <v>190428</v>
      </c>
      <c r="F88" s="120">
        <f t="shared" si="13"/>
        <v>0.26637161209462634</v>
      </c>
    </row>
    <row r="89" spans="1:6" ht="15.75" x14ac:dyDescent="0.25">
      <c r="A89" s="130">
        <v>6</v>
      </c>
      <c r="B89" s="122" t="s">
        <v>118</v>
      </c>
      <c r="C89" s="119">
        <f t="shared" si="11"/>
        <v>4118098</v>
      </c>
      <c r="D89" s="119">
        <f t="shared" si="11"/>
        <v>6299165</v>
      </c>
      <c r="E89" s="119">
        <f t="shared" si="12"/>
        <v>2181067</v>
      </c>
      <c r="F89" s="120">
        <f t="shared" si="13"/>
        <v>0.52962969798193249</v>
      </c>
    </row>
    <row r="90" spans="1:6" ht="15.75" x14ac:dyDescent="0.25">
      <c r="A90" s="130">
        <v>7</v>
      </c>
      <c r="B90" s="122" t="s">
        <v>119</v>
      </c>
      <c r="C90" s="119">
        <f t="shared" si="11"/>
        <v>81392119</v>
      </c>
      <c r="D90" s="119">
        <f t="shared" si="11"/>
        <v>85508786</v>
      </c>
      <c r="E90" s="119">
        <f t="shared" si="12"/>
        <v>4116667</v>
      </c>
      <c r="F90" s="120">
        <f t="shared" si="13"/>
        <v>5.0578201557819127E-2</v>
      </c>
    </row>
    <row r="91" spans="1:6" ht="15.75" x14ac:dyDescent="0.25">
      <c r="A91" s="130">
        <v>8</v>
      </c>
      <c r="B91" s="122" t="s">
        <v>120</v>
      </c>
      <c r="C91" s="119">
        <f t="shared" si="11"/>
        <v>2433504</v>
      </c>
      <c r="D91" s="119">
        <f t="shared" si="11"/>
        <v>2069619</v>
      </c>
      <c r="E91" s="119">
        <f t="shared" si="12"/>
        <v>-363885</v>
      </c>
      <c r="F91" s="120">
        <f t="shared" si="13"/>
        <v>-0.14953129314765867</v>
      </c>
    </row>
    <row r="92" spans="1:6" ht="15.75" x14ac:dyDescent="0.25">
      <c r="A92" s="130">
        <v>9</v>
      </c>
      <c r="B92" s="122" t="s">
        <v>121</v>
      </c>
      <c r="C92" s="119">
        <f t="shared" si="11"/>
        <v>349586</v>
      </c>
      <c r="D92" s="119">
        <f t="shared" si="11"/>
        <v>0</v>
      </c>
      <c r="E92" s="119">
        <f t="shared" si="12"/>
        <v>-349586</v>
      </c>
      <c r="F92" s="120">
        <f t="shared" si="13"/>
        <v>-1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181621706</v>
      </c>
      <c r="D95" s="128">
        <f>SUM(D84:D94)</f>
        <v>187798616</v>
      </c>
      <c r="E95" s="128">
        <f t="shared" si="12"/>
        <v>6176910</v>
      </c>
      <c r="F95" s="129">
        <f t="shared" si="13"/>
        <v>3.4009756521062522E-2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2576</v>
      </c>
      <c r="D100" s="133">
        <v>2547</v>
      </c>
      <c r="E100" s="133">
        <f t="shared" ref="E100:E111" si="14">D100-C100</f>
        <v>-29</v>
      </c>
      <c r="F100" s="114">
        <f t="shared" ref="F100:F111" si="15">IF(C100=0,0,E100/C100)</f>
        <v>-1.125776397515528E-2</v>
      </c>
    </row>
    <row r="101" spans="1:6" x14ac:dyDescent="0.2">
      <c r="A101" s="115">
        <v>2</v>
      </c>
      <c r="B101" s="116" t="s">
        <v>114</v>
      </c>
      <c r="C101" s="133">
        <v>777</v>
      </c>
      <c r="D101" s="133">
        <v>929</v>
      </c>
      <c r="E101" s="133">
        <f t="shared" si="14"/>
        <v>152</v>
      </c>
      <c r="F101" s="114">
        <f t="shared" si="15"/>
        <v>0.19562419562419561</v>
      </c>
    </row>
    <row r="102" spans="1:6" x14ac:dyDescent="0.2">
      <c r="A102" s="115">
        <v>3</v>
      </c>
      <c r="B102" s="116" t="s">
        <v>115</v>
      </c>
      <c r="C102" s="133">
        <v>2269</v>
      </c>
      <c r="D102" s="133">
        <v>2586</v>
      </c>
      <c r="E102" s="133">
        <f t="shared" si="14"/>
        <v>317</v>
      </c>
      <c r="F102" s="114">
        <f t="shared" si="15"/>
        <v>0.13970912296165711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76</v>
      </c>
      <c r="D104" s="133">
        <v>45</v>
      </c>
      <c r="E104" s="133">
        <f t="shared" si="14"/>
        <v>-31</v>
      </c>
      <c r="F104" s="114">
        <f t="shared" si="15"/>
        <v>-0.40789473684210525</v>
      </c>
    </row>
    <row r="105" spans="1:6" x14ac:dyDescent="0.2">
      <c r="A105" s="115">
        <v>6</v>
      </c>
      <c r="B105" s="116" t="s">
        <v>118</v>
      </c>
      <c r="C105" s="133">
        <v>205</v>
      </c>
      <c r="D105" s="133">
        <v>214</v>
      </c>
      <c r="E105" s="133">
        <f t="shared" si="14"/>
        <v>9</v>
      </c>
      <c r="F105" s="114">
        <f t="shared" si="15"/>
        <v>4.3902439024390241E-2</v>
      </c>
    </row>
    <row r="106" spans="1:6" x14ac:dyDescent="0.2">
      <c r="A106" s="115">
        <v>7</v>
      </c>
      <c r="B106" s="116" t="s">
        <v>119</v>
      </c>
      <c r="C106" s="133">
        <v>2830</v>
      </c>
      <c r="D106" s="133">
        <v>2958</v>
      </c>
      <c r="E106" s="133">
        <f t="shared" si="14"/>
        <v>128</v>
      </c>
      <c r="F106" s="114">
        <f t="shared" si="15"/>
        <v>4.5229681978798585E-2</v>
      </c>
    </row>
    <row r="107" spans="1:6" x14ac:dyDescent="0.2">
      <c r="A107" s="115">
        <v>8</v>
      </c>
      <c r="B107" s="116" t="s">
        <v>120</v>
      </c>
      <c r="C107" s="133">
        <v>9</v>
      </c>
      <c r="D107" s="133">
        <v>9</v>
      </c>
      <c r="E107" s="133">
        <f t="shared" si="14"/>
        <v>0</v>
      </c>
      <c r="F107" s="114">
        <f t="shared" si="15"/>
        <v>0</v>
      </c>
    </row>
    <row r="108" spans="1:6" x14ac:dyDescent="0.2">
      <c r="A108" s="115">
        <v>9</v>
      </c>
      <c r="B108" s="116" t="s">
        <v>121</v>
      </c>
      <c r="C108" s="133">
        <v>64</v>
      </c>
      <c r="D108" s="133">
        <v>77</v>
      </c>
      <c r="E108" s="133">
        <f t="shared" si="14"/>
        <v>13</v>
      </c>
      <c r="F108" s="114">
        <f t="shared" si="15"/>
        <v>0.203125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8806</v>
      </c>
      <c r="D111" s="134">
        <f>SUM(D100:D110)</f>
        <v>9365</v>
      </c>
      <c r="E111" s="134">
        <f t="shared" si="14"/>
        <v>559</v>
      </c>
      <c r="F111" s="120">
        <f t="shared" si="15"/>
        <v>6.3479445832387002E-2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14522</v>
      </c>
      <c r="D113" s="133">
        <v>15268</v>
      </c>
      <c r="E113" s="133">
        <f t="shared" ref="E113:E124" si="16">D113-C113</f>
        <v>746</v>
      </c>
      <c r="F113" s="114">
        <f t="shared" ref="F113:F124" si="17">IF(C113=0,0,E113/C113)</f>
        <v>5.1370334664646744E-2</v>
      </c>
    </row>
    <row r="114" spans="1:6" x14ac:dyDescent="0.2">
      <c r="A114" s="115">
        <v>2</v>
      </c>
      <c r="B114" s="116" t="s">
        <v>114</v>
      </c>
      <c r="C114" s="133">
        <v>4130</v>
      </c>
      <c r="D114" s="133">
        <v>5205</v>
      </c>
      <c r="E114" s="133">
        <f t="shared" si="16"/>
        <v>1075</v>
      </c>
      <c r="F114" s="114">
        <f t="shared" si="17"/>
        <v>0.26029055690072639</v>
      </c>
    </row>
    <row r="115" spans="1:6" x14ac:dyDescent="0.2">
      <c r="A115" s="115">
        <v>3</v>
      </c>
      <c r="B115" s="116" t="s">
        <v>115</v>
      </c>
      <c r="C115" s="133">
        <v>10980</v>
      </c>
      <c r="D115" s="133">
        <v>11673</v>
      </c>
      <c r="E115" s="133">
        <f t="shared" si="16"/>
        <v>693</v>
      </c>
      <c r="F115" s="114">
        <f t="shared" si="17"/>
        <v>6.3114754098360662E-2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369</v>
      </c>
      <c r="D117" s="133">
        <v>173</v>
      </c>
      <c r="E117" s="133">
        <f t="shared" si="16"/>
        <v>-196</v>
      </c>
      <c r="F117" s="114">
        <f t="shared" si="17"/>
        <v>-0.53116531165311653</v>
      </c>
    </row>
    <row r="118" spans="1:6" x14ac:dyDescent="0.2">
      <c r="A118" s="115">
        <v>6</v>
      </c>
      <c r="B118" s="116" t="s">
        <v>118</v>
      </c>
      <c r="C118" s="133">
        <v>683</v>
      </c>
      <c r="D118" s="133">
        <v>556</v>
      </c>
      <c r="E118" s="133">
        <f t="shared" si="16"/>
        <v>-127</v>
      </c>
      <c r="F118" s="114">
        <f t="shared" si="17"/>
        <v>-0.18594436310395315</v>
      </c>
    </row>
    <row r="119" spans="1:6" x14ac:dyDescent="0.2">
      <c r="A119" s="115">
        <v>7</v>
      </c>
      <c r="B119" s="116" t="s">
        <v>119</v>
      </c>
      <c r="C119" s="133">
        <v>9770</v>
      </c>
      <c r="D119" s="133">
        <v>11495</v>
      </c>
      <c r="E119" s="133">
        <f t="shared" si="16"/>
        <v>1725</v>
      </c>
      <c r="F119" s="114">
        <f t="shared" si="17"/>
        <v>0.17656090071647901</v>
      </c>
    </row>
    <row r="120" spans="1:6" x14ac:dyDescent="0.2">
      <c r="A120" s="115">
        <v>8</v>
      </c>
      <c r="B120" s="116" t="s">
        <v>120</v>
      </c>
      <c r="C120" s="133">
        <v>30</v>
      </c>
      <c r="D120" s="133">
        <v>49</v>
      </c>
      <c r="E120" s="133">
        <f t="shared" si="16"/>
        <v>19</v>
      </c>
      <c r="F120" s="114">
        <f t="shared" si="17"/>
        <v>0.6333333333333333</v>
      </c>
    </row>
    <row r="121" spans="1:6" x14ac:dyDescent="0.2">
      <c r="A121" s="115">
        <v>9</v>
      </c>
      <c r="B121" s="116" t="s">
        <v>121</v>
      </c>
      <c r="C121" s="133">
        <v>208</v>
      </c>
      <c r="D121" s="133">
        <v>357</v>
      </c>
      <c r="E121" s="133">
        <f t="shared" si="16"/>
        <v>149</v>
      </c>
      <c r="F121" s="114">
        <f t="shared" si="17"/>
        <v>0.71634615384615385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40692</v>
      </c>
      <c r="D124" s="134">
        <f>SUM(D113:D123)</f>
        <v>44776</v>
      </c>
      <c r="E124" s="134">
        <f t="shared" si="16"/>
        <v>4084</v>
      </c>
      <c r="F124" s="120">
        <f t="shared" si="17"/>
        <v>0.10036370785412366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73707</v>
      </c>
      <c r="D126" s="133">
        <v>65893</v>
      </c>
      <c r="E126" s="133">
        <f t="shared" ref="E126:E137" si="18">D126-C126</f>
        <v>-7814</v>
      </c>
      <c r="F126" s="114">
        <f t="shared" ref="F126:F137" si="19">IF(C126=0,0,E126/C126)</f>
        <v>-0.10601435413190063</v>
      </c>
    </row>
    <row r="127" spans="1:6" x14ac:dyDescent="0.2">
      <c r="A127" s="115">
        <v>2</v>
      </c>
      <c r="B127" s="116" t="s">
        <v>114</v>
      </c>
      <c r="C127" s="133">
        <v>28872</v>
      </c>
      <c r="D127" s="133">
        <v>30319</v>
      </c>
      <c r="E127" s="133">
        <f t="shared" si="18"/>
        <v>1447</v>
      </c>
      <c r="F127" s="114">
        <f t="shared" si="19"/>
        <v>5.011776115267387E-2</v>
      </c>
    </row>
    <row r="128" spans="1:6" x14ac:dyDescent="0.2">
      <c r="A128" s="115">
        <v>3</v>
      </c>
      <c r="B128" s="116" t="s">
        <v>115</v>
      </c>
      <c r="C128" s="133">
        <v>42173</v>
      </c>
      <c r="D128" s="133">
        <v>25125</v>
      </c>
      <c r="E128" s="133">
        <f t="shared" si="18"/>
        <v>-17048</v>
      </c>
      <c r="F128" s="114">
        <f t="shared" si="19"/>
        <v>-0.40423967941573991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1022</v>
      </c>
      <c r="D130" s="133">
        <v>746</v>
      </c>
      <c r="E130" s="133">
        <f t="shared" si="18"/>
        <v>-276</v>
      </c>
      <c r="F130" s="114">
        <f t="shared" si="19"/>
        <v>-0.27005870841487278</v>
      </c>
    </row>
    <row r="131" spans="1:6" x14ac:dyDescent="0.2">
      <c r="A131" s="115">
        <v>6</v>
      </c>
      <c r="B131" s="116" t="s">
        <v>118</v>
      </c>
      <c r="C131" s="133">
        <v>3270</v>
      </c>
      <c r="D131" s="133">
        <v>3390</v>
      </c>
      <c r="E131" s="133">
        <f t="shared" si="18"/>
        <v>120</v>
      </c>
      <c r="F131" s="114">
        <f t="shared" si="19"/>
        <v>3.669724770642202E-2</v>
      </c>
    </row>
    <row r="132" spans="1:6" x14ac:dyDescent="0.2">
      <c r="A132" s="115">
        <v>7</v>
      </c>
      <c r="B132" s="116" t="s">
        <v>119</v>
      </c>
      <c r="C132" s="133">
        <v>89388</v>
      </c>
      <c r="D132" s="133">
        <v>73722</v>
      </c>
      <c r="E132" s="133">
        <f t="shared" si="18"/>
        <v>-15666</v>
      </c>
      <c r="F132" s="114">
        <f t="shared" si="19"/>
        <v>-0.17525842394952343</v>
      </c>
    </row>
    <row r="133" spans="1:6" x14ac:dyDescent="0.2">
      <c r="A133" s="115">
        <v>8</v>
      </c>
      <c r="B133" s="116" t="s">
        <v>120</v>
      </c>
      <c r="C133" s="133">
        <v>1360</v>
      </c>
      <c r="D133" s="133">
        <v>316</v>
      </c>
      <c r="E133" s="133">
        <f t="shared" si="18"/>
        <v>-1044</v>
      </c>
      <c r="F133" s="114">
        <f t="shared" si="19"/>
        <v>-0.76764705882352946</v>
      </c>
    </row>
    <row r="134" spans="1:6" x14ac:dyDescent="0.2">
      <c r="A134" s="115">
        <v>9</v>
      </c>
      <c r="B134" s="116" t="s">
        <v>121</v>
      </c>
      <c r="C134" s="133">
        <v>5985</v>
      </c>
      <c r="D134" s="133">
        <v>1244</v>
      </c>
      <c r="E134" s="133">
        <f t="shared" si="18"/>
        <v>-4741</v>
      </c>
      <c r="F134" s="114">
        <f t="shared" si="19"/>
        <v>-0.79214703425229738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245777</v>
      </c>
      <c r="D137" s="134">
        <f>SUM(D126:D136)</f>
        <v>200755</v>
      </c>
      <c r="E137" s="134">
        <f t="shared" si="18"/>
        <v>-45022</v>
      </c>
      <c r="F137" s="120">
        <f t="shared" si="19"/>
        <v>-0.18318231567640586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22188222</v>
      </c>
      <c r="D142" s="113">
        <v>23477999</v>
      </c>
      <c r="E142" s="113">
        <f t="shared" ref="E142:E153" si="20">D142-C142</f>
        <v>1289777</v>
      </c>
      <c r="F142" s="114">
        <f t="shared" ref="F142:F153" si="21">IF(C142=0,0,E142/C142)</f>
        <v>5.8128902802576973E-2</v>
      </c>
    </row>
    <row r="143" spans="1:6" x14ac:dyDescent="0.2">
      <c r="A143" s="115">
        <v>2</v>
      </c>
      <c r="B143" s="116" t="s">
        <v>114</v>
      </c>
      <c r="C143" s="113">
        <v>8439296</v>
      </c>
      <c r="D143" s="113">
        <v>9098767</v>
      </c>
      <c r="E143" s="113">
        <f t="shared" si="20"/>
        <v>659471</v>
      </c>
      <c r="F143" s="114">
        <f t="shared" si="21"/>
        <v>7.814289248771461E-2</v>
      </c>
    </row>
    <row r="144" spans="1:6" x14ac:dyDescent="0.2">
      <c r="A144" s="115">
        <v>3</v>
      </c>
      <c r="B144" s="116" t="s">
        <v>115</v>
      </c>
      <c r="C144" s="113">
        <v>44526571</v>
      </c>
      <c r="D144" s="113">
        <v>46043769</v>
      </c>
      <c r="E144" s="113">
        <f t="shared" si="20"/>
        <v>1517198</v>
      </c>
      <c r="F144" s="114">
        <f t="shared" si="21"/>
        <v>3.4073991460065498E-2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535868</v>
      </c>
      <c r="D146" s="113">
        <v>653668</v>
      </c>
      <c r="E146" s="113">
        <f t="shared" si="20"/>
        <v>117800</v>
      </c>
      <c r="F146" s="114">
        <f t="shared" si="21"/>
        <v>0.21983025670500944</v>
      </c>
    </row>
    <row r="147" spans="1:6" x14ac:dyDescent="0.2">
      <c r="A147" s="115">
        <v>6</v>
      </c>
      <c r="B147" s="116" t="s">
        <v>118</v>
      </c>
      <c r="C147" s="113">
        <v>2930581</v>
      </c>
      <c r="D147" s="113">
        <v>2568298</v>
      </c>
      <c r="E147" s="113">
        <f t="shared" si="20"/>
        <v>-362283</v>
      </c>
      <c r="F147" s="114">
        <f t="shared" si="21"/>
        <v>-0.12362156173127445</v>
      </c>
    </row>
    <row r="148" spans="1:6" x14ac:dyDescent="0.2">
      <c r="A148" s="115">
        <v>7</v>
      </c>
      <c r="B148" s="116" t="s">
        <v>119</v>
      </c>
      <c r="C148" s="113">
        <v>34436846</v>
      </c>
      <c r="D148" s="113">
        <v>36214556</v>
      </c>
      <c r="E148" s="113">
        <f t="shared" si="20"/>
        <v>1777710</v>
      </c>
      <c r="F148" s="114">
        <f t="shared" si="21"/>
        <v>5.162232336840604E-2</v>
      </c>
    </row>
    <row r="149" spans="1:6" x14ac:dyDescent="0.2">
      <c r="A149" s="115">
        <v>8</v>
      </c>
      <c r="B149" s="116" t="s">
        <v>120</v>
      </c>
      <c r="C149" s="113">
        <v>1802831</v>
      </c>
      <c r="D149" s="113">
        <v>1656927</v>
      </c>
      <c r="E149" s="113">
        <f t="shared" si="20"/>
        <v>-145904</v>
      </c>
      <c r="F149" s="114">
        <f t="shared" si="21"/>
        <v>-8.0930492098261017E-2</v>
      </c>
    </row>
    <row r="150" spans="1:6" x14ac:dyDescent="0.2">
      <c r="A150" s="115">
        <v>9</v>
      </c>
      <c r="B150" s="116" t="s">
        <v>121</v>
      </c>
      <c r="C150" s="113">
        <v>3682610</v>
      </c>
      <c r="D150" s="113">
        <v>5593855</v>
      </c>
      <c r="E150" s="113">
        <f t="shared" si="20"/>
        <v>1911245</v>
      </c>
      <c r="F150" s="114">
        <f t="shared" si="21"/>
        <v>0.51899196493791089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118542825</v>
      </c>
      <c r="D153" s="119">
        <f>SUM(D142:D152)</f>
        <v>125307839</v>
      </c>
      <c r="E153" s="119">
        <f t="shared" si="20"/>
        <v>6765014</v>
      </c>
      <c r="F153" s="120">
        <f t="shared" si="21"/>
        <v>5.7068101759849235E-2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3395553</v>
      </c>
      <c r="D155" s="113">
        <v>3154523</v>
      </c>
      <c r="E155" s="113">
        <f t="shared" ref="E155:E166" si="22">D155-C155</f>
        <v>-241030</v>
      </c>
      <c r="F155" s="114">
        <f t="shared" ref="F155:F166" si="23">IF(C155=0,0,E155/C155)</f>
        <v>-7.0984019392422978E-2</v>
      </c>
    </row>
    <row r="156" spans="1:6" x14ac:dyDescent="0.2">
      <c r="A156" s="115">
        <v>2</v>
      </c>
      <c r="B156" s="116" t="s">
        <v>114</v>
      </c>
      <c r="C156" s="113">
        <v>1330534</v>
      </c>
      <c r="D156" s="113">
        <v>1254124</v>
      </c>
      <c r="E156" s="113">
        <f t="shared" si="22"/>
        <v>-76410</v>
      </c>
      <c r="F156" s="114">
        <f t="shared" si="23"/>
        <v>-5.7428070233455142E-2</v>
      </c>
    </row>
    <row r="157" spans="1:6" x14ac:dyDescent="0.2">
      <c r="A157" s="115">
        <v>3</v>
      </c>
      <c r="B157" s="116" t="s">
        <v>115</v>
      </c>
      <c r="C157" s="113">
        <v>4953207</v>
      </c>
      <c r="D157" s="113">
        <v>4942653</v>
      </c>
      <c r="E157" s="113">
        <f t="shared" si="22"/>
        <v>-10554</v>
      </c>
      <c r="F157" s="114">
        <f t="shared" si="23"/>
        <v>-2.1307407503865679E-3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96287</v>
      </c>
      <c r="D159" s="113">
        <v>86984</v>
      </c>
      <c r="E159" s="113">
        <f t="shared" si="22"/>
        <v>-9303</v>
      </c>
      <c r="F159" s="114">
        <f t="shared" si="23"/>
        <v>-9.6617404218638028E-2</v>
      </c>
    </row>
    <row r="160" spans="1:6" x14ac:dyDescent="0.2">
      <c r="A160" s="115">
        <v>6</v>
      </c>
      <c r="B160" s="116" t="s">
        <v>118</v>
      </c>
      <c r="C160" s="113">
        <v>1431460</v>
      </c>
      <c r="D160" s="113">
        <v>1049903</v>
      </c>
      <c r="E160" s="113">
        <f t="shared" si="22"/>
        <v>-381557</v>
      </c>
      <c r="F160" s="114">
        <f t="shared" si="23"/>
        <v>-0.26655093401142887</v>
      </c>
    </row>
    <row r="161" spans="1:6" x14ac:dyDescent="0.2">
      <c r="A161" s="115">
        <v>7</v>
      </c>
      <c r="B161" s="116" t="s">
        <v>119</v>
      </c>
      <c r="C161" s="113">
        <v>15084910</v>
      </c>
      <c r="D161" s="113">
        <v>14714209</v>
      </c>
      <c r="E161" s="113">
        <f t="shared" si="22"/>
        <v>-370701</v>
      </c>
      <c r="F161" s="114">
        <f t="shared" si="23"/>
        <v>-2.4574293118089535E-2</v>
      </c>
    </row>
    <row r="162" spans="1:6" x14ac:dyDescent="0.2">
      <c r="A162" s="115">
        <v>8</v>
      </c>
      <c r="B162" s="116" t="s">
        <v>120</v>
      </c>
      <c r="C162" s="113">
        <v>956815</v>
      </c>
      <c r="D162" s="113">
        <v>616231</v>
      </c>
      <c r="E162" s="113">
        <f t="shared" si="22"/>
        <v>-340584</v>
      </c>
      <c r="F162" s="114">
        <f t="shared" si="23"/>
        <v>-0.35595595804831653</v>
      </c>
    </row>
    <row r="163" spans="1:6" x14ac:dyDescent="0.2">
      <c r="A163" s="115">
        <v>9</v>
      </c>
      <c r="B163" s="116" t="s">
        <v>121</v>
      </c>
      <c r="C163" s="113">
        <v>149010</v>
      </c>
      <c r="D163" s="113">
        <v>126903</v>
      </c>
      <c r="E163" s="113">
        <f t="shared" si="22"/>
        <v>-22107</v>
      </c>
      <c r="F163" s="114">
        <f t="shared" si="23"/>
        <v>-0.1483591705254681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27397776</v>
      </c>
      <c r="D166" s="119">
        <f>SUM(D155:D165)</f>
        <v>25945530</v>
      </c>
      <c r="E166" s="119">
        <f t="shared" si="22"/>
        <v>-1452246</v>
      </c>
      <c r="F166" s="120">
        <f t="shared" si="23"/>
        <v>-5.3005981215409601E-2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5471</v>
      </c>
      <c r="D168" s="133">
        <v>5366</v>
      </c>
      <c r="E168" s="133">
        <f t="shared" ref="E168:E179" si="24">D168-C168</f>
        <v>-105</v>
      </c>
      <c r="F168" s="114">
        <f t="shared" ref="F168:F179" si="25">IF(C168=0,0,E168/C168)</f>
        <v>-1.919210382014257E-2</v>
      </c>
    </row>
    <row r="169" spans="1:6" x14ac:dyDescent="0.2">
      <c r="A169" s="115">
        <v>2</v>
      </c>
      <c r="B169" s="116" t="s">
        <v>114</v>
      </c>
      <c r="C169" s="133">
        <v>1991</v>
      </c>
      <c r="D169" s="133">
        <v>2197</v>
      </c>
      <c r="E169" s="133">
        <f t="shared" si="24"/>
        <v>206</v>
      </c>
      <c r="F169" s="114">
        <f t="shared" si="25"/>
        <v>0.10346559517830237</v>
      </c>
    </row>
    <row r="170" spans="1:6" x14ac:dyDescent="0.2">
      <c r="A170" s="115">
        <v>3</v>
      </c>
      <c r="B170" s="116" t="s">
        <v>115</v>
      </c>
      <c r="C170" s="133">
        <v>14944</v>
      </c>
      <c r="D170" s="133">
        <v>14287</v>
      </c>
      <c r="E170" s="133">
        <f t="shared" si="24"/>
        <v>-657</v>
      </c>
      <c r="F170" s="114">
        <f t="shared" si="25"/>
        <v>-4.3964132762312633E-2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163</v>
      </c>
      <c r="D172" s="133">
        <v>189</v>
      </c>
      <c r="E172" s="133">
        <f t="shared" si="24"/>
        <v>26</v>
      </c>
      <c r="F172" s="114">
        <f t="shared" si="25"/>
        <v>0.15950920245398773</v>
      </c>
    </row>
    <row r="173" spans="1:6" x14ac:dyDescent="0.2">
      <c r="A173" s="115">
        <v>6</v>
      </c>
      <c r="B173" s="116" t="s">
        <v>118</v>
      </c>
      <c r="C173" s="133">
        <v>851</v>
      </c>
      <c r="D173" s="133">
        <v>706</v>
      </c>
      <c r="E173" s="133">
        <f t="shared" si="24"/>
        <v>-145</v>
      </c>
      <c r="F173" s="114">
        <f t="shared" si="25"/>
        <v>-0.17038777908343125</v>
      </c>
    </row>
    <row r="174" spans="1:6" x14ac:dyDescent="0.2">
      <c r="A174" s="115">
        <v>7</v>
      </c>
      <c r="B174" s="116" t="s">
        <v>119</v>
      </c>
      <c r="C174" s="133">
        <v>9043</v>
      </c>
      <c r="D174" s="133">
        <v>9016</v>
      </c>
      <c r="E174" s="133">
        <f t="shared" si="24"/>
        <v>-27</v>
      </c>
      <c r="F174" s="114">
        <f t="shared" si="25"/>
        <v>-2.9857348225146522E-3</v>
      </c>
    </row>
    <row r="175" spans="1:6" x14ac:dyDescent="0.2">
      <c r="A175" s="115">
        <v>8</v>
      </c>
      <c r="B175" s="116" t="s">
        <v>120</v>
      </c>
      <c r="C175" s="133">
        <v>705</v>
      </c>
      <c r="D175" s="133">
        <v>620</v>
      </c>
      <c r="E175" s="133">
        <f t="shared" si="24"/>
        <v>-85</v>
      </c>
      <c r="F175" s="114">
        <f t="shared" si="25"/>
        <v>-0.12056737588652482</v>
      </c>
    </row>
    <row r="176" spans="1:6" x14ac:dyDescent="0.2">
      <c r="A176" s="115">
        <v>9</v>
      </c>
      <c r="B176" s="116" t="s">
        <v>121</v>
      </c>
      <c r="C176" s="133">
        <v>1704</v>
      </c>
      <c r="D176" s="133">
        <v>1790</v>
      </c>
      <c r="E176" s="133">
        <f t="shared" si="24"/>
        <v>86</v>
      </c>
      <c r="F176" s="114">
        <f t="shared" si="25"/>
        <v>5.0469483568075117E-2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34872</v>
      </c>
      <c r="D179" s="134">
        <f>SUM(D168:D178)</f>
        <v>34171</v>
      </c>
      <c r="E179" s="134">
        <f t="shared" si="24"/>
        <v>-701</v>
      </c>
      <c r="F179" s="120">
        <f t="shared" si="25"/>
        <v>-2.010208763477862E-2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B37" sqref="B37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25962525</v>
      </c>
      <c r="D15" s="157">
        <v>26061010</v>
      </c>
      <c r="E15" s="157">
        <f>+D15-C15</f>
        <v>98485</v>
      </c>
      <c r="F15" s="161">
        <f>IF(C15=0,0,E15/C15)</f>
        <v>3.7933521489146374E-3</v>
      </c>
    </row>
    <row r="16" spans="1:6" ht="15" customHeight="1" x14ac:dyDescent="0.2">
      <c r="A16" s="147">
        <v>2</v>
      </c>
      <c r="B16" s="160" t="s">
        <v>157</v>
      </c>
      <c r="C16" s="157">
        <v>9859566</v>
      </c>
      <c r="D16" s="157">
        <v>10119503</v>
      </c>
      <c r="E16" s="157">
        <f>+D16-C16</f>
        <v>259937</v>
      </c>
      <c r="F16" s="161">
        <f>IF(C16=0,0,E16/C16)</f>
        <v>2.6363939345808933E-2</v>
      </c>
    </row>
    <row r="17" spans="1:6" ht="15" customHeight="1" x14ac:dyDescent="0.2">
      <c r="A17" s="147">
        <v>3</v>
      </c>
      <c r="B17" s="160" t="s">
        <v>158</v>
      </c>
      <c r="C17" s="157">
        <v>45887361</v>
      </c>
      <c r="D17" s="157">
        <v>43947078</v>
      </c>
      <c r="E17" s="157">
        <f>+D17-C17</f>
        <v>-1940283</v>
      </c>
      <c r="F17" s="161">
        <f>IF(C17=0,0,E17/C17)</f>
        <v>-4.2283603975395316E-2</v>
      </c>
    </row>
    <row r="18" spans="1:6" ht="15.75" customHeight="1" x14ac:dyDescent="0.25">
      <c r="A18" s="147"/>
      <c r="B18" s="162" t="s">
        <v>159</v>
      </c>
      <c r="C18" s="158">
        <f>SUM(C15:C17)</f>
        <v>81709452</v>
      </c>
      <c r="D18" s="158">
        <f>SUM(D15:D17)</f>
        <v>80127591</v>
      </c>
      <c r="E18" s="158">
        <f>+D18-C18</f>
        <v>-1581861</v>
      </c>
      <c r="F18" s="159">
        <f>IF(C18=0,0,E18/C18)</f>
        <v>-1.9359584005042649E-2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8928385</v>
      </c>
      <c r="D21" s="157">
        <v>9496373</v>
      </c>
      <c r="E21" s="157">
        <f>+D21-C21</f>
        <v>567988</v>
      </c>
      <c r="F21" s="161">
        <f>IF(C21=0,0,E21/C21)</f>
        <v>6.3615984301752221E-2</v>
      </c>
    </row>
    <row r="22" spans="1:6" ht="15" customHeight="1" x14ac:dyDescent="0.2">
      <c r="A22" s="147">
        <v>2</v>
      </c>
      <c r="B22" s="160" t="s">
        <v>162</v>
      </c>
      <c r="C22" s="157">
        <v>3184698</v>
      </c>
      <c r="D22" s="157">
        <v>3687446</v>
      </c>
      <c r="E22" s="157">
        <f>+D22-C22</f>
        <v>502748</v>
      </c>
      <c r="F22" s="161">
        <f>IF(C22=0,0,E22/C22)</f>
        <v>0.15786363416562574</v>
      </c>
    </row>
    <row r="23" spans="1:6" ht="15" customHeight="1" x14ac:dyDescent="0.2">
      <c r="A23" s="147">
        <v>3</v>
      </c>
      <c r="B23" s="160" t="s">
        <v>163</v>
      </c>
      <c r="C23" s="157">
        <v>13456397</v>
      </c>
      <c r="D23" s="157">
        <v>15937794</v>
      </c>
      <c r="E23" s="157">
        <f>+D23-C23</f>
        <v>2481397</v>
      </c>
      <c r="F23" s="161">
        <f>IF(C23=0,0,E23/C23)</f>
        <v>0.18440277884191436</v>
      </c>
    </row>
    <row r="24" spans="1:6" ht="15.75" customHeight="1" x14ac:dyDescent="0.25">
      <c r="A24" s="147"/>
      <c r="B24" s="162" t="s">
        <v>164</v>
      </c>
      <c r="C24" s="158">
        <f>SUM(C21:C23)</f>
        <v>25569480</v>
      </c>
      <c r="D24" s="158">
        <f>SUM(D21:D23)</f>
        <v>29121613</v>
      </c>
      <c r="E24" s="158">
        <f>+D24-C24</f>
        <v>3552133</v>
      </c>
      <c r="F24" s="159">
        <f>IF(C24=0,0,E24/C24)</f>
        <v>0.13892081497159894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10079421</v>
      </c>
      <c r="D28" s="157">
        <v>9966849</v>
      </c>
      <c r="E28" s="157">
        <f>+D28-C28</f>
        <v>-112572</v>
      </c>
      <c r="F28" s="161">
        <f>IF(C28=0,0,E28/C28)</f>
        <v>-1.1168498666738892E-2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1785280</v>
      </c>
      <c r="E29" s="157">
        <f>+D29-C29</f>
        <v>1785280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10079421</v>
      </c>
      <c r="D30" s="158">
        <f>SUM(D27:D29)</f>
        <v>11752129</v>
      </c>
      <c r="E30" s="158">
        <f>+D30-C30</f>
        <v>1672708</v>
      </c>
      <c r="F30" s="159">
        <f>IF(C30=0,0,E30/C30)</f>
        <v>0.16595278637532851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19547401</v>
      </c>
      <c r="D33" s="157">
        <v>19305414</v>
      </c>
      <c r="E33" s="157">
        <f>+D33-C33</f>
        <v>-241987</v>
      </c>
      <c r="F33" s="161">
        <f>IF(C33=0,0,E33/C33)</f>
        <v>-1.237949740735354E-2</v>
      </c>
    </row>
    <row r="34" spans="1:6" ht="15" customHeight="1" x14ac:dyDescent="0.2">
      <c r="A34" s="147">
        <v>2</v>
      </c>
      <c r="B34" s="160" t="s">
        <v>173</v>
      </c>
      <c r="C34" s="157">
        <v>6045438</v>
      </c>
      <c r="D34" s="157">
        <v>6962576</v>
      </c>
      <c r="E34" s="157">
        <f>+D34-C34</f>
        <v>917138</v>
      </c>
      <c r="F34" s="161">
        <f>IF(C34=0,0,E34/C34)</f>
        <v>0.15170745279332945</v>
      </c>
    </row>
    <row r="35" spans="1:6" ht="15.75" customHeight="1" x14ac:dyDescent="0.25">
      <c r="A35" s="147"/>
      <c r="B35" s="162" t="s">
        <v>174</v>
      </c>
      <c r="C35" s="158">
        <f>SUM(C33:C34)</f>
        <v>25592839</v>
      </c>
      <c r="D35" s="158">
        <f>SUM(D33:D34)</f>
        <v>26267990</v>
      </c>
      <c r="E35" s="158">
        <f>+D35-C35</f>
        <v>675151</v>
      </c>
      <c r="F35" s="159">
        <f>IF(C35=0,0,E35/C35)</f>
        <v>2.6380465254362752E-2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3258494</v>
      </c>
      <c r="D38" s="157">
        <v>2165090</v>
      </c>
      <c r="E38" s="157">
        <f>+D38-C38</f>
        <v>-1093404</v>
      </c>
      <c r="F38" s="161">
        <f>IF(C38=0,0,E38/C38)</f>
        <v>-0.33555501406477961</v>
      </c>
    </row>
    <row r="39" spans="1:6" ht="15" customHeight="1" x14ac:dyDescent="0.2">
      <c r="A39" s="147">
        <v>2</v>
      </c>
      <c r="B39" s="160" t="s">
        <v>178</v>
      </c>
      <c r="C39" s="157">
        <v>3774426</v>
      </c>
      <c r="D39" s="157">
        <v>4965748</v>
      </c>
      <c r="E39" s="157">
        <f>+D39-C39</f>
        <v>1191322</v>
      </c>
      <c r="F39" s="161">
        <f>IF(C39=0,0,E39/C39)</f>
        <v>0.31562997923392855</v>
      </c>
    </row>
    <row r="40" spans="1:6" ht="15" customHeight="1" x14ac:dyDescent="0.2">
      <c r="A40" s="147">
        <v>3</v>
      </c>
      <c r="B40" s="160" t="s">
        <v>179</v>
      </c>
      <c r="C40" s="157">
        <v>83519</v>
      </c>
      <c r="D40" s="157">
        <v>83518</v>
      </c>
      <c r="E40" s="157">
        <f>+D40-C40</f>
        <v>-1</v>
      </c>
      <c r="F40" s="161">
        <f>IF(C40=0,0,E40/C40)</f>
        <v>-1.197332343538596E-5</v>
      </c>
    </row>
    <row r="41" spans="1:6" ht="15.75" customHeight="1" x14ac:dyDescent="0.25">
      <c r="A41" s="147"/>
      <c r="B41" s="162" t="s">
        <v>180</v>
      </c>
      <c r="C41" s="158">
        <f>SUM(C38:C40)</f>
        <v>7116439</v>
      </c>
      <c r="D41" s="158">
        <f>SUM(D38:D40)</f>
        <v>7214356</v>
      </c>
      <c r="E41" s="158">
        <f>+D41-C41</f>
        <v>97917</v>
      </c>
      <c r="F41" s="159">
        <f>IF(C41=0,0,E41/C41)</f>
        <v>1.3759269207534836E-2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2358063</v>
      </c>
      <c r="D47" s="157">
        <v>2266813</v>
      </c>
      <c r="E47" s="157">
        <f>+D47-C47</f>
        <v>-91250</v>
      </c>
      <c r="F47" s="161">
        <f>IF(C47=0,0,E47/C47)</f>
        <v>-3.8697015304510522E-2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2115210</v>
      </c>
      <c r="D50" s="157">
        <v>6915619</v>
      </c>
      <c r="E50" s="157">
        <f>+D50-C50</f>
        <v>4800409</v>
      </c>
      <c r="F50" s="161">
        <f>IF(C50=0,0,E50/C50)</f>
        <v>2.2694715891093558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197852</v>
      </c>
      <c r="D53" s="157">
        <v>219183</v>
      </c>
      <c r="E53" s="157">
        <f t="shared" ref="E53:E59" si="0">+D53-C53</f>
        <v>21331</v>
      </c>
      <c r="F53" s="161">
        <f t="shared" ref="F53:F59" si="1">IF(C53=0,0,E53/C53)</f>
        <v>0.1078129106604937</v>
      </c>
    </row>
    <row r="54" spans="1:6" ht="15" customHeight="1" x14ac:dyDescent="0.2">
      <c r="A54" s="147">
        <v>2</v>
      </c>
      <c r="B54" s="160" t="s">
        <v>189</v>
      </c>
      <c r="C54" s="157">
        <v>465343</v>
      </c>
      <c r="D54" s="157">
        <v>345908</v>
      </c>
      <c r="E54" s="157">
        <f t="shared" si="0"/>
        <v>-119435</v>
      </c>
      <c r="F54" s="161">
        <f t="shared" si="1"/>
        <v>-0.2566601410142626</v>
      </c>
    </row>
    <row r="55" spans="1:6" ht="15" customHeight="1" x14ac:dyDescent="0.2">
      <c r="A55" s="147">
        <v>3</v>
      </c>
      <c r="B55" s="160" t="s">
        <v>190</v>
      </c>
      <c r="C55" s="157">
        <v>55056</v>
      </c>
      <c r="D55" s="157">
        <v>19570</v>
      </c>
      <c r="E55" s="157">
        <f t="shared" si="0"/>
        <v>-35486</v>
      </c>
      <c r="F55" s="161">
        <f t="shared" si="1"/>
        <v>-0.64454373728567282</v>
      </c>
    </row>
    <row r="56" spans="1:6" ht="15" customHeight="1" x14ac:dyDescent="0.2">
      <c r="A56" s="147">
        <v>4</v>
      </c>
      <c r="B56" s="160" t="s">
        <v>191</v>
      </c>
      <c r="C56" s="157">
        <v>1427747</v>
      </c>
      <c r="D56" s="157">
        <v>1464386</v>
      </c>
      <c r="E56" s="157">
        <f t="shared" si="0"/>
        <v>36639</v>
      </c>
      <c r="F56" s="161">
        <f t="shared" si="1"/>
        <v>2.5662109603452152E-2</v>
      </c>
    </row>
    <row r="57" spans="1:6" ht="15" customHeight="1" x14ac:dyDescent="0.2">
      <c r="A57" s="147">
        <v>5</v>
      </c>
      <c r="B57" s="160" t="s">
        <v>192</v>
      </c>
      <c r="C57" s="157">
        <v>636360</v>
      </c>
      <c r="D57" s="157">
        <v>567285</v>
      </c>
      <c r="E57" s="157">
        <f t="shared" si="0"/>
        <v>-69075</v>
      </c>
      <c r="F57" s="161">
        <f t="shared" si="1"/>
        <v>-0.10854704884027909</v>
      </c>
    </row>
    <row r="58" spans="1:6" ht="15" customHeight="1" x14ac:dyDescent="0.2">
      <c r="A58" s="147">
        <v>6</v>
      </c>
      <c r="B58" s="160" t="s">
        <v>193</v>
      </c>
      <c r="C58" s="157">
        <v>25037</v>
      </c>
      <c r="D58" s="157">
        <v>25575</v>
      </c>
      <c r="E58" s="157">
        <f t="shared" si="0"/>
        <v>538</v>
      </c>
      <c r="F58" s="161">
        <f t="shared" si="1"/>
        <v>2.1488197467747733E-2</v>
      </c>
    </row>
    <row r="59" spans="1:6" ht="15.75" customHeight="1" x14ac:dyDescent="0.25">
      <c r="A59" s="147"/>
      <c r="B59" s="162" t="s">
        <v>194</v>
      </c>
      <c r="C59" s="158">
        <f>SUM(C53:C58)</f>
        <v>2807395</v>
      </c>
      <c r="D59" s="158">
        <f>SUM(D53:D58)</f>
        <v>2641907</v>
      </c>
      <c r="E59" s="158">
        <f t="shared" si="0"/>
        <v>-165488</v>
      </c>
      <c r="F59" s="159">
        <f t="shared" si="1"/>
        <v>-5.8947173447270511E-2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149165</v>
      </c>
      <c r="D62" s="157">
        <v>350166</v>
      </c>
      <c r="E62" s="157">
        <f t="shared" ref="E62:E90" si="2">+D62-C62</f>
        <v>201001</v>
      </c>
      <c r="F62" s="161">
        <f t="shared" ref="F62:F90" si="3">IF(C62=0,0,E62/C62)</f>
        <v>1.3475077933831663</v>
      </c>
    </row>
    <row r="63" spans="1:6" ht="15" customHeight="1" x14ac:dyDescent="0.2">
      <c r="A63" s="147">
        <v>2</v>
      </c>
      <c r="B63" s="160" t="s">
        <v>198</v>
      </c>
      <c r="C63" s="157">
        <v>342790</v>
      </c>
      <c r="D63" s="157">
        <v>314838</v>
      </c>
      <c r="E63" s="157">
        <f t="shared" si="2"/>
        <v>-27952</v>
      </c>
      <c r="F63" s="161">
        <f t="shared" si="3"/>
        <v>-8.1542635432772251E-2</v>
      </c>
    </row>
    <row r="64" spans="1:6" ht="15" customHeight="1" x14ac:dyDescent="0.2">
      <c r="A64" s="147">
        <v>3</v>
      </c>
      <c r="B64" s="160" t="s">
        <v>199</v>
      </c>
      <c r="C64" s="157">
        <v>1211427</v>
      </c>
      <c r="D64" s="157">
        <v>2122663</v>
      </c>
      <c r="E64" s="157">
        <f t="shared" si="2"/>
        <v>911236</v>
      </c>
      <c r="F64" s="161">
        <f t="shared" si="3"/>
        <v>0.75220050403367267</v>
      </c>
    </row>
    <row r="65" spans="1:6" ht="15" customHeight="1" x14ac:dyDescent="0.2">
      <c r="A65" s="147">
        <v>4</v>
      </c>
      <c r="B65" s="160" t="s">
        <v>200</v>
      </c>
      <c r="C65" s="157">
        <v>293088</v>
      </c>
      <c r="D65" s="157">
        <v>252298</v>
      </c>
      <c r="E65" s="157">
        <f t="shared" si="2"/>
        <v>-40790</v>
      </c>
      <c r="F65" s="161">
        <f t="shared" si="3"/>
        <v>-0.1391732176001747</v>
      </c>
    </row>
    <row r="66" spans="1:6" ht="15" customHeight="1" x14ac:dyDescent="0.2">
      <c r="A66" s="147">
        <v>5</v>
      </c>
      <c r="B66" s="160" t="s">
        <v>201</v>
      </c>
      <c r="C66" s="157">
        <v>337100</v>
      </c>
      <c r="D66" s="157">
        <v>308877</v>
      </c>
      <c r="E66" s="157">
        <f t="shared" si="2"/>
        <v>-28223</v>
      </c>
      <c r="F66" s="161">
        <f t="shared" si="3"/>
        <v>-8.3722930881044197E-2</v>
      </c>
    </row>
    <row r="67" spans="1:6" ht="15" customHeight="1" x14ac:dyDescent="0.2">
      <c r="A67" s="147">
        <v>6</v>
      </c>
      <c r="B67" s="160" t="s">
        <v>202</v>
      </c>
      <c r="C67" s="157">
        <v>1322298</v>
      </c>
      <c r="D67" s="157">
        <v>1485667</v>
      </c>
      <c r="E67" s="157">
        <f t="shared" si="2"/>
        <v>163369</v>
      </c>
      <c r="F67" s="161">
        <f t="shared" si="3"/>
        <v>0.1235493058296995</v>
      </c>
    </row>
    <row r="68" spans="1:6" ht="15" customHeight="1" x14ac:dyDescent="0.2">
      <c r="A68" s="147">
        <v>7</v>
      </c>
      <c r="B68" s="160" t="s">
        <v>203</v>
      </c>
      <c r="C68" s="157">
        <v>693040</v>
      </c>
      <c r="D68" s="157">
        <v>631653</v>
      </c>
      <c r="E68" s="157">
        <f t="shared" si="2"/>
        <v>-61387</v>
      </c>
      <c r="F68" s="161">
        <f t="shared" si="3"/>
        <v>-8.8576416945630843E-2</v>
      </c>
    </row>
    <row r="69" spans="1:6" ht="15" customHeight="1" x14ac:dyDescent="0.2">
      <c r="A69" s="147">
        <v>8</v>
      </c>
      <c r="B69" s="160" t="s">
        <v>204</v>
      </c>
      <c r="C69" s="157">
        <v>391167</v>
      </c>
      <c r="D69" s="157">
        <v>397965</v>
      </c>
      <c r="E69" s="157">
        <f t="shared" si="2"/>
        <v>6798</v>
      </c>
      <c r="F69" s="161">
        <f t="shared" si="3"/>
        <v>1.7378766613748091E-2</v>
      </c>
    </row>
    <row r="70" spans="1:6" ht="15" customHeight="1" x14ac:dyDescent="0.2">
      <c r="A70" s="147">
        <v>9</v>
      </c>
      <c r="B70" s="160" t="s">
        <v>205</v>
      </c>
      <c r="C70" s="157">
        <v>98659</v>
      </c>
      <c r="D70" s="157">
        <v>90129</v>
      </c>
      <c r="E70" s="157">
        <f t="shared" si="2"/>
        <v>-8530</v>
      </c>
      <c r="F70" s="161">
        <f t="shared" si="3"/>
        <v>-8.6459420833375572E-2</v>
      </c>
    </row>
    <row r="71" spans="1:6" ht="15" customHeight="1" x14ac:dyDescent="0.2">
      <c r="A71" s="147">
        <v>10</v>
      </c>
      <c r="B71" s="160" t="s">
        <v>206</v>
      </c>
      <c r="C71" s="157">
        <v>4330</v>
      </c>
      <c r="D71" s="157">
        <v>1554</v>
      </c>
      <c r="E71" s="157">
        <f t="shared" si="2"/>
        <v>-2776</v>
      </c>
      <c r="F71" s="161">
        <f t="shared" si="3"/>
        <v>-0.64110854503464199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170007</v>
      </c>
      <c r="E72" s="157">
        <f t="shared" si="2"/>
        <v>170007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1102196</v>
      </c>
      <c r="D73" s="157">
        <v>1206705</v>
      </c>
      <c r="E73" s="157">
        <f t="shared" si="2"/>
        <v>104509</v>
      </c>
      <c r="F73" s="161">
        <f t="shared" si="3"/>
        <v>9.4818888836468287E-2</v>
      </c>
    </row>
    <row r="74" spans="1:6" ht="15" customHeight="1" x14ac:dyDescent="0.2">
      <c r="A74" s="147">
        <v>13</v>
      </c>
      <c r="B74" s="160" t="s">
        <v>209</v>
      </c>
      <c r="C74" s="157">
        <v>101694</v>
      </c>
      <c r="D74" s="157">
        <v>110561</v>
      </c>
      <c r="E74" s="157">
        <f t="shared" si="2"/>
        <v>8867</v>
      </c>
      <c r="F74" s="161">
        <f t="shared" si="3"/>
        <v>8.7192951403229302E-2</v>
      </c>
    </row>
    <row r="75" spans="1:6" ht="15" customHeight="1" x14ac:dyDescent="0.2">
      <c r="A75" s="147">
        <v>14</v>
      </c>
      <c r="B75" s="160" t="s">
        <v>210</v>
      </c>
      <c r="C75" s="157">
        <v>125903</v>
      </c>
      <c r="D75" s="157">
        <v>100380</v>
      </c>
      <c r="E75" s="157">
        <f t="shared" si="2"/>
        <v>-25523</v>
      </c>
      <c r="F75" s="161">
        <f t="shared" si="3"/>
        <v>-0.20271955394232066</v>
      </c>
    </row>
    <row r="76" spans="1:6" ht="15" customHeight="1" x14ac:dyDescent="0.2">
      <c r="A76" s="147">
        <v>15</v>
      </c>
      <c r="B76" s="160" t="s">
        <v>211</v>
      </c>
      <c r="C76" s="157">
        <v>347425</v>
      </c>
      <c r="D76" s="157">
        <v>326932</v>
      </c>
      <c r="E76" s="157">
        <f t="shared" si="2"/>
        <v>-20493</v>
      </c>
      <c r="F76" s="161">
        <f t="shared" si="3"/>
        <v>-5.8985392530762036E-2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3532898</v>
      </c>
      <c r="D78" s="157">
        <v>3445805</v>
      </c>
      <c r="E78" s="157">
        <f t="shared" si="2"/>
        <v>-87093</v>
      </c>
      <c r="F78" s="161">
        <f t="shared" si="3"/>
        <v>-2.4651999576551602E-2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1771180</v>
      </c>
      <c r="D80" s="157">
        <v>1730991</v>
      </c>
      <c r="E80" s="157">
        <f t="shared" si="2"/>
        <v>-40189</v>
      </c>
      <c r="F80" s="161">
        <f t="shared" si="3"/>
        <v>-2.2690522702379205E-2</v>
      </c>
    </row>
    <row r="81" spans="1:6" ht="15" customHeight="1" x14ac:dyDescent="0.2">
      <c r="A81" s="147">
        <v>20</v>
      </c>
      <c r="B81" s="160" t="s">
        <v>216</v>
      </c>
      <c r="C81" s="157">
        <v>714804</v>
      </c>
      <c r="D81" s="157">
        <v>829538</v>
      </c>
      <c r="E81" s="157">
        <f t="shared" si="2"/>
        <v>114734</v>
      </c>
      <c r="F81" s="161">
        <f t="shared" si="3"/>
        <v>0.16051113312180681</v>
      </c>
    </row>
    <row r="82" spans="1:6" ht="15" customHeight="1" x14ac:dyDescent="0.2">
      <c r="A82" s="147">
        <v>21</v>
      </c>
      <c r="B82" s="160" t="s">
        <v>217</v>
      </c>
      <c r="C82" s="157">
        <v>849675</v>
      </c>
      <c r="D82" s="157">
        <v>792320</v>
      </c>
      <c r="E82" s="157">
        <f t="shared" si="2"/>
        <v>-57355</v>
      </c>
      <c r="F82" s="161">
        <f t="shared" si="3"/>
        <v>-6.7502280283637861E-2</v>
      </c>
    </row>
    <row r="83" spans="1:6" ht="15" customHeight="1" x14ac:dyDescent="0.2">
      <c r="A83" s="147">
        <v>22</v>
      </c>
      <c r="B83" s="160" t="s">
        <v>218</v>
      </c>
      <c r="C83" s="157">
        <v>555609</v>
      </c>
      <c r="D83" s="157">
        <v>450533</v>
      </c>
      <c r="E83" s="157">
        <f t="shared" si="2"/>
        <v>-105076</v>
      </c>
      <c r="F83" s="161">
        <f t="shared" si="3"/>
        <v>-0.18911860679002679</v>
      </c>
    </row>
    <row r="84" spans="1:6" ht="15" customHeight="1" x14ac:dyDescent="0.2">
      <c r="A84" s="147">
        <v>23</v>
      </c>
      <c r="B84" s="160" t="s">
        <v>219</v>
      </c>
      <c r="C84" s="157">
        <v>754456</v>
      </c>
      <c r="D84" s="157">
        <v>0</v>
      </c>
      <c r="E84" s="157">
        <f t="shared" si="2"/>
        <v>-754456</v>
      </c>
      <c r="F84" s="161">
        <f t="shared" si="3"/>
        <v>-1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193996</v>
      </c>
      <c r="D86" s="157">
        <v>181231</v>
      </c>
      <c r="E86" s="157">
        <f t="shared" si="2"/>
        <v>-12765</v>
      </c>
      <c r="F86" s="161">
        <f t="shared" si="3"/>
        <v>-6.5800325779912988E-2</v>
      </c>
    </row>
    <row r="87" spans="1:6" ht="15" customHeight="1" x14ac:dyDescent="0.2">
      <c r="A87" s="147">
        <v>26</v>
      </c>
      <c r="B87" s="160" t="s">
        <v>222</v>
      </c>
      <c r="C87" s="157">
        <v>2590050</v>
      </c>
      <c r="D87" s="157">
        <v>4061093</v>
      </c>
      <c r="E87" s="157">
        <f t="shared" si="2"/>
        <v>1471043</v>
      </c>
      <c r="F87" s="161">
        <f t="shared" si="3"/>
        <v>0.56795930580490728</v>
      </c>
    </row>
    <row r="88" spans="1:6" ht="15" customHeight="1" x14ac:dyDescent="0.2">
      <c r="A88" s="147">
        <v>27</v>
      </c>
      <c r="B88" s="160" t="s">
        <v>223</v>
      </c>
      <c r="C88" s="157">
        <v>4015198</v>
      </c>
      <c r="D88" s="157">
        <v>5101042</v>
      </c>
      <c r="E88" s="157">
        <f t="shared" si="2"/>
        <v>1085844</v>
      </c>
      <c r="F88" s="161">
        <f t="shared" si="3"/>
        <v>0.27043348796248651</v>
      </c>
    </row>
    <row r="89" spans="1:6" ht="15" customHeight="1" x14ac:dyDescent="0.2">
      <c r="A89" s="147">
        <v>28</v>
      </c>
      <c r="B89" s="160" t="s">
        <v>224</v>
      </c>
      <c r="C89" s="157">
        <v>694805</v>
      </c>
      <c r="D89" s="157">
        <v>1939932</v>
      </c>
      <c r="E89" s="157">
        <f t="shared" si="2"/>
        <v>1245127</v>
      </c>
      <c r="F89" s="161">
        <f t="shared" si="3"/>
        <v>1.7920524463698448</v>
      </c>
    </row>
    <row r="90" spans="1:6" ht="15.75" customHeight="1" x14ac:dyDescent="0.25">
      <c r="A90" s="147"/>
      <c r="B90" s="162" t="s">
        <v>225</v>
      </c>
      <c r="C90" s="158">
        <f>SUM(C62:C89)</f>
        <v>22192953</v>
      </c>
      <c r="D90" s="158">
        <f>SUM(D62:D89)</f>
        <v>26402880</v>
      </c>
      <c r="E90" s="158">
        <f t="shared" si="2"/>
        <v>4209927</v>
      </c>
      <c r="F90" s="159">
        <f t="shared" si="3"/>
        <v>0.18969656719409986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183071</v>
      </c>
      <c r="D93" s="157">
        <v>0</v>
      </c>
      <c r="E93" s="157">
        <f>+D93-C93</f>
        <v>-183071</v>
      </c>
      <c r="F93" s="161">
        <f>IF(C93=0,0,E93/C93)</f>
        <v>-1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179724323</v>
      </c>
      <c r="D95" s="158">
        <f>+D93+D90+D59+D50+D47+D44+D41+D35+D30+D24+D18</f>
        <v>192710898</v>
      </c>
      <c r="E95" s="158">
        <f>+D95-C95</f>
        <v>12986575</v>
      </c>
      <c r="F95" s="159">
        <f>IF(C95=0,0,E95/C95)</f>
        <v>7.2258305293491074E-2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3242807</v>
      </c>
      <c r="D103" s="157">
        <v>5908450</v>
      </c>
      <c r="E103" s="157">
        <f t="shared" ref="E103:E121" si="4">D103-C103</f>
        <v>2665643</v>
      </c>
      <c r="F103" s="161">
        <f t="shared" ref="F103:F121" si="5">IF(C103=0,0,E103/C103)</f>
        <v>0.82201715982480605</v>
      </c>
    </row>
    <row r="104" spans="1:6" ht="15" customHeight="1" x14ac:dyDescent="0.2">
      <c r="A104" s="147">
        <v>2</v>
      </c>
      <c r="B104" s="169" t="s">
        <v>234</v>
      </c>
      <c r="C104" s="157">
        <v>2119965</v>
      </c>
      <c r="D104" s="157">
        <v>2318909</v>
      </c>
      <c r="E104" s="157">
        <f t="shared" si="4"/>
        <v>198944</v>
      </c>
      <c r="F104" s="161">
        <f t="shared" si="5"/>
        <v>9.3843058729743176E-2</v>
      </c>
    </row>
    <row r="105" spans="1:6" ht="15" customHeight="1" x14ac:dyDescent="0.2">
      <c r="A105" s="147">
        <v>3</v>
      </c>
      <c r="B105" s="169" t="s">
        <v>235</v>
      </c>
      <c r="C105" s="157">
        <v>1584068</v>
      </c>
      <c r="D105" s="157">
        <v>1682376</v>
      </c>
      <c r="E105" s="157">
        <f t="shared" si="4"/>
        <v>98308</v>
      </c>
      <c r="F105" s="161">
        <f t="shared" si="5"/>
        <v>6.2060467101159797E-2</v>
      </c>
    </row>
    <row r="106" spans="1:6" ht="15" customHeight="1" x14ac:dyDescent="0.2">
      <c r="A106" s="147">
        <v>4</v>
      </c>
      <c r="B106" s="169" t="s">
        <v>236</v>
      </c>
      <c r="C106" s="157">
        <v>1540301</v>
      </c>
      <c r="D106" s="157">
        <v>1783920</v>
      </c>
      <c r="E106" s="157">
        <f t="shared" si="4"/>
        <v>243619</v>
      </c>
      <c r="F106" s="161">
        <f t="shared" si="5"/>
        <v>0.15816324211955976</v>
      </c>
    </row>
    <row r="107" spans="1:6" ht="15" customHeight="1" x14ac:dyDescent="0.2">
      <c r="A107" s="147">
        <v>5</v>
      </c>
      <c r="B107" s="169" t="s">
        <v>237</v>
      </c>
      <c r="C107" s="157">
        <v>6096534</v>
      </c>
      <c r="D107" s="157">
        <v>6299930</v>
      </c>
      <c r="E107" s="157">
        <f t="shared" si="4"/>
        <v>203396</v>
      </c>
      <c r="F107" s="161">
        <f t="shared" si="5"/>
        <v>3.3362563056320196E-2</v>
      </c>
    </row>
    <row r="108" spans="1:6" ht="15" customHeight="1" x14ac:dyDescent="0.2">
      <c r="A108" s="147">
        <v>6</v>
      </c>
      <c r="B108" s="169" t="s">
        <v>238</v>
      </c>
      <c r="C108" s="157">
        <v>744116</v>
      </c>
      <c r="D108" s="157">
        <v>788336</v>
      </c>
      <c r="E108" s="157">
        <f t="shared" si="4"/>
        <v>44220</v>
      </c>
      <c r="F108" s="161">
        <f t="shared" si="5"/>
        <v>5.9426218492815638E-2</v>
      </c>
    </row>
    <row r="109" spans="1:6" ht="15" customHeight="1" x14ac:dyDescent="0.2">
      <c r="A109" s="147">
        <v>7</v>
      </c>
      <c r="B109" s="169" t="s">
        <v>239</v>
      </c>
      <c r="C109" s="157">
        <v>19352065</v>
      </c>
      <c r="D109" s="157">
        <v>28260114</v>
      </c>
      <c r="E109" s="157">
        <f t="shared" si="4"/>
        <v>8908049</v>
      </c>
      <c r="F109" s="161">
        <f t="shared" si="5"/>
        <v>0.46031516533248518</v>
      </c>
    </row>
    <row r="110" spans="1:6" ht="15" customHeight="1" x14ac:dyDescent="0.2">
      <c r="A110" s="147">
        <v>8</v>
      </c>
      <c r="B110" s="169" t="s">
        <v>240</v>
      </c>
      <c r="C110" s="157">
        <v>452036</v>
      </c>
      <c r="D110" s="157">
        <v>334473</v>
      </c>
      <c r="E110" s="157">
        <f t="shared" si="4"/>
        <v>-117563</v>
      </c>
      <c r="F110" s="161">
        <f t="shared" si="5"/>
        <v>-0.26007441885159588</v>
      </c>
    </row>
    <row r="111" spans="1:6" ht="15" customHeight="1" x14ac:dyDescent="0.2">
      <c r="A111" s="147">
        <v>9</v>
      </c>
      <c r="B111" s="169" t="s">
        <v>241</v>
      </c>
      <c r="C111" s="157">
        <v>1749627</v>
      </c>
      <c r="D111" s="157">
        <v>1127282</v>
      </c>
      <c r="E111" s="157">
        <f t="shared" si="4"/>
        <v>-622345</v>
      </c>
      <c r="F111" s="161">
        <f t="shared" si="5"/>
        <v>-0.35570152952600753</v>
      </c>
    </row>
    <row r="112" spans="1:6" ht="15" customHeight="1" x14ac:dyDescent="0.2">
      <c r="A112" s="147">
        <v>10</v>
      </c>
      <c r="B112" s="169" t="s">
        <v>242</v>
      </c>
      <c r="C112" s="157">
        <v>3282962</v>
      </c>
      <c r="D112" s="157">
        <v>3114583</v>
      </c>
      <c r="E112" s="157">
        <f t="shared" si="4"/>
        <v>-168379</v>
      </c>
      <c r="F112" s="161">
        <f t="shared" si="5"/>
        <v>-5.1288744737222058E-2</v>
      </c>
    </row>
    <row r="113" spans="1:6" ht="15" customHeight="1" x14ac:dyDescent="0.2">
      <c r="A113" s="147">
        <v>11</v>
      </c>
      <c r="B113" s="169" t="s">
        <v>243</v>
      </c>
      <c r="C113" s="157">
        <v>2039517</v>
      </c>
      <c r="D113" s="157">
        <v>1994613</v>
      </c>
      <c r="E113" s="157">
        <f t="shared" si="4"/>
        <v>-44904</v>
      </c>
      <c r="F113" s="161">
        <f t="shared" si="5"/>
        <v>-2.2016977549096182E-2</v>
      </c>
    </row>
    <row r="114" spans="1:6" ht="15" customHeight="1" x14ac:dyDescent="0.2">
      <c r="A114" s="147">
        <v>12</v>
      </c>
      <c r="B114" s="169" t="s">
        <v>244</v>
      </c>
      <c r="C114" s="157">
        <v>890861</v>
      </c>
      <c r="D114" s="157">
        <v>833962</v>
      </c>
      <c r="E114" s="157">
        <f t="shared" si="4"/>
        <v>-56899</v>
      </c>
      <c r="F114" s="161">
        <f t="shared" si="5"/>
        <v>-6.386967214862925E-2</v>
      </c>
    </row>
    <row r="115" spans="1:6" ht="15" customHeight="1" x14ac:dyDescent="0.2">
      <c r="A115" s="147">
        <v>13</v>
      </c>
      <c r="B115" s="169" t="s">
        <v>245</v>
      </c>
      <c r="C115" s="157">
        <v>2230716</v>
      </c>
      <c r="D115" s="157">
        <v>2100398</v>
      </c>
      <c r="E115" s="157">
        <f t="shared" si="4"/>
        <v>-130318</v>
      </c>
      <c r="F115" s="161">
        <f t="shared" si="5"/>
        <v>-5.841980781058638E-2</v>
      </c>
    </row>
    <row r="116" spans="1:6" ht="15" customHeight="1" x14ac:dyDescent="0.2">
      <c r="A116" s="147">
        <v>14</v>
      </c>
      <c r="B116" s="169" t="s">
        <v>246</v>
      </c>
      <c r="C116" s="157">
        <v>990196</v>
      </c>
      <c r="D116" s="157">
        <v>741052</v>
      </c>
      <c r="E116" s="157">
        <f t="shared" si="4"/>
        <v>-249144</v>
      </c>
      <c r="F116" s="161">
        <f t="shared" si="5"/>
        <v>-0.25161079220679544</v>
      </c>
    </row>
    <row r="117" spans="1:6" ht="15" customHeight="1" x14ac:dyDescent="0.2">
      <c r="A117" s="147">
        <v>15</v>
      </c>
      <c r="B117" s="169" t="s">
        <v>203</v>
      </c>
      <c r="C117" s="157">
        <v>1678438</v>
      </c>
      <c r="D117" s="157">
        <v>1588218</v>
      </c>
      <c r="E117" s="157">
        <f t="shared" si="4"/>
        <v>-90220</v>
      </c>
      <c r="F117" s="161">
        <f t="shared" si="5"/>
        <v>-5.3752357846998222E-2</v>
      </c>
    </row>
    <row r="118" spans="1:6" ht="15" customHeight="1" x14ac:dyDescent="0.2">
      <c r="A118" s="147">
        <v>16</v>
      </c>
      <c r="B118" s="169" t="s">
        <v>247</v>
      </c>
      <c r="C118" s="157">
        <v>979916</v>
      </c>
      <c r="D118" s="157">
        <v>1064364</v>
      </c>
      <c r="E118" s="157">
        <f t="shared" si="4"/>
        <v>84448</v>
      </c>
      <c r="F118" s="161">
        <f t="shared" si="5"/>
        <v>8.6178815327028035E-2</v>
      </c>
    </row>
    <row r="119" spans="1:6" ht="15" customHeight="1" x14ac:dyDescent="0.2">
      <c r="A119" s="147">
        <v>17</v>
      </c>
      <c r="B119" s="169" t="s">
        <v>248</v>
      </c>
      <c r="C119" s="157">
        <v>7899204</v>
      </c>
      <c r="D119" s="157">
        <v>8956637</v>
      </c>
      <c r="E119" s="157">
        <f t="shared" si="4"/>
        <v>1057433</v>
      </c>
      <c r="F119" s="161">
        <f t="shared" si="5"/>
        <v>0.13386576672788802</v>
      </c>
    </row>
    <row r="120" spans="1:6" ht="15" customHeight="1" x14ac:dyDescent="0.2">
      <c r="A120" s="147">
        <v>18</v>
      </c>
      <c r="B120" s="169" t="s">
        <v>249</v>
      </c>
      <c r="C120" s="157">
        <v>22922267</v>
      </c>
      <c r="D120" s="157">
        <v>22762759</v>
      </c>
      <c r="E120" s="157">
        <f t="shared" si="4"/>
        <v>-159508</v>
      </c>
      <c r="F120" s="161">
        <f t="shared" si="5"/>
        <v>-6.9586485490287673E-3</v>
      </c>
    </row>
    <row r="121" spans="1:6" ht="15.75" customHeight="1" x14ac:dyDescent="0.25">
      <c r="A121" s="147"/>
      <c r="B121" s="165" t="s">
        <v>250</v>
      </c>
      <c r="C121" s="158">
        <f>SUM(C103:C120)</f>
        <v>79795596</v>
      </c>
      <c r="D121" s="158">
        <f>SUM(D103:D120)</f>
        <v>91660376</v>
      </c>
      <c r="E121" s="158">
        <f t="shared" si="4"/>
        <v>11864780</v>
      </c>
      <c r="F121" s="159">
        <f t="shared" si="5"/>
        <v>0.14868965951454263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8679164</v>
      </c>
      <c r="D124" s="157">
        <v>8271208</v>
      </c>
      <c r="E124" s="157">
        <f t="shared" ref="E124:E130" si="6">D124-C124</f>
        <v>-407956</v>
      </c>
      <c r="F124" s="161">
        <f t="shared" ref="F124:F130" si="7">IF(C124=0,0,E124/C124)</f>
        <v>-4.7004066290255608E-2</v>
      </c>
    </row>
    <row r="125" spans="1:6" ht="15" customHeight="1" x14ac:dyDescent="0.2">
      <c r="A125" s="147">
        <v>2</v>
      </c>
      <c r="B125" s="169" t="s">
        <v>253</v>
      </c>
      <c r="C125" s="157">
        <v>2371421</v>
      </c>
      <c r="D125" s="157">
        <v>2965931</v>
      </c>
      <c r="E125" s="157">
        <f t="shared" si="6"/>
        <v>594510</v>
      </c>
      <c r="F125" s="161">
        <f t="shared" si="7"/>
        <v>0.25069778837245688</v>
      </c>
    </row>
    <row r="126" spans="1:6" ht="15" customHeight="1" x14ac:dyDescent="0.2">
      <c r="A126" s="147">
        <v>3</v>
      </c>
      <c r="B126" s="169" t="s">
        <v>254</v>
      </c>
      <c r="C126" s="157">
        <v>2060346</v>
      </c>
      <c r="D126" s="157">
        <v>1417546</v>
      </c>
      <c r="E126" s="157">
        <f t="shared" si="6"/>
        <v>-642800</v>
      </c>
      <c r="F126" s="161">
        <f t="shared" si="7"/>
        <v>-0.31198643334663206</v>
      </c>
    </row>
    <row r="127" spans="1:6" ht="15" customHeight="1" x14ac:dyDescent="0.2">
      <c r="A127" s="147">
        <v>4</v>
      </c>
      <c r="B127" s="169" t="s">
        <v>255</v>
      </c>
      <c r="C127" s="157">
        <v>2150645</v>
      </c>
      <c r="D127" s="157">
        <v>1941720</v>
      </c>
      <c r="E127" s="157">
        <f t="shared" si="6"/>
        <v>-208925</v>
      </c>
      <c r="F127" s="161">
        <f t="shared" si="7"/>
        <v>-9.7145275022144525E-2</v>
      </c>
    </row>
    <row r="128" spans="1:6" ht="15" customHeight="1" x14ac:dyDescent="0.2">
      <c r="A128" s="147">
        <v>5</v>
      </c>
      <c r="B128" s="169" t="s">
        <v>256</v>
      </c>
      <c r="C128" s="157">
        <v>125877</v>
      </c>
      <c r="D128" s="157">
        <v>213362</v>
      </c>
      <c r="E128" s="157">
        <f t="shared" si="6"/>
        <v>87485</v>
      </c>
      <c r="F128" s="161">
        <f t="shared" si="7"/>
        <v>0.69500385296757949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15387453</v>
      </c>
      <c r="D130" s="158">
        <f>SUM(D124:D129)</f>
        <v>14809767</v>
      </c>
      <c r="E130" s="158">
        <f t="shared" si="6"/>
        <v>-577686</v>
      </c>
      <c r="F130" s="159">
        <f t="shared" si="7"/>
        <v>-3.7542665443072352E-2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12025114</v>
      </c>
      <c r="D133" s="157">
        <v>12572274</v>
      </c>
      <c r="E133" s="157">
        <f t="shared" ref="E133:E167" si="8">D133-C133</f>
        <v>547160</v>
      </c>
      <c r="F133" s="161">
        <f t="shared" ref="F133:F167" si="9">IF(C133=0,0,E133/C133)</f>
        <v>4.5501439736870687E-2</v>
      </c>
    </row>
    <row r="134" spans="1:6" ht="15" customHeight="1" x14ac:dyDescent="0.2">
      <c r="A134" s="147">
        <v>2</v>
      </c>
      <c r="B134" s="169" t="s">
        <v>261</v>
      </c>
      <c r="C134" s="157">
        <v>1009720</v>
      </c>
      <c r="D134" s="157">
        <v>943399</v>
      </c>
      <c r="E134" s="157">
        <f t="shared" si="8"/>
        <v>-66321</v>
      </c>
      <c r="F134" s="161">
        <f t="shared" si="9"/>
        <v>-6.5682565463692902E-2</v>
      </c>
    </row>
    <row r="135" spans="1:6" ht="15" customHeight="1" x14ac:dyDescent="0.2">
      <c r="A135" s="147">
        <v>3</v>
      </c>
      <c r="B135" s="169" t="s">
        <v>262</v>
      </c>
      <c r="C135" s="157">
        <v>372293</v>
      </c>
      <c r="D135" s="157">
        <v>410104</v>
      </c>
      <c r="E135" s="157">
        <f t="shared" si="8"/>
        <v>37811</v>
      </c>
      <c r="F135" s="161">
        <f t="shared" si="9"/>
        <v>0.10156247901518428</v>
      </c>
    </row>
    <row r="136" spans="1:6" ht="15" customHeight="1" x14ac:dyDescent="0.2">
      <c r="A136" s="147">
        <v>4</v>
      </c>
      <c r="B136" s="169" t="s">
        <v>263</v>
      </c>
      <c r="C136" s="157">
        <v>4392741</v>
      </c>
      <c r="D136" s="157">
        <v>4084448</v>
      </c>
      <c r="E136" s="157">
        <f t="shared" si="8"/>
        <v>-308293</v>
      </c>
      <c r="F136" s="161">
        <f t="shared" si="9"/>
        <v>-7.0182375878750869E-2</v>
      </c>
    </row>
    <row r="137" spans="1:6" ht="15" customHeight="1" x14ac:dyDescent="0.2">
      <c r="A137" s="147">
        <v>5</v>
      </c>
      <c r="B137" s="169" t="s">
        <v>264</v>
      </c>
      <c r="C137" s="157">
        <v>2875688</v>
      </c>
      <c r="D137" s="157">
        <v>4370341</v>
      </c>
      <c r="E137" s="157">
        <f t="shared" si="8"/>
        <v>1494653</v>
      </c>
      <c r="F137" s="161">
        <f t="shared" si="9"/>
        <v>0.51975492473453311</v>
      </c>
    </row>
    <row r="138" spans="1:6" ht="15" customHeight="1" x14ac:dyDescent="0.2">
      <c r="A138" s="147">
        <v>6</v>
      </c>
      <c r="B138" s="169" t="s">
        <v>265</v>
      </c>
      <c r="C138" s="157">
        <v>683801</v>
      </c>
      <c r="D138" s="157">
        <v>636882</v>
      </c>
      <c r="E138" s="157">
        <f t="shared" si="8"/>
        <v>-46919</v>
      </c>
      <c r="F138" s="161">
        <f t="shared" si="9"/>
        <v>-6.8614991788546673E-2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557272</v>
      </c>
      <c r="D140" s="157">
        <v>493059</v>
      </c>
      <c r="E140" s="157">
        <f t="shared" si="8"/>
        <v>-64213</v>
      </c>
      <c r="F140" s="161">
        <f t="shared" si="9"/>
        <v>-0.11522739344521167</v>
      </c>
    </row>
    <row r="141" spans="1:6" ht="15" customHeight="1" x14ac:dyDescent="0.2">
      <c r="A141" s="147">
        <v>9</v>
      </c>
      <c r="B141" s="169" t="s">
        <v>268</v>
      </c>
      <c r="C141" s="157">
        <v>792258</v>
      </c>
      <c r="D141" s="157">
        <v>818221</v>
      </c>
      <c r="E141" s="157">
        <f t="shared" si="8"/>
        <v>25963</v>
      </c>
      <c r="F141" s="161">
        <f t="shared" si="9"/>
        <v>3.2770890290789112E-2</v>
      </c>
    </row>
    <row r="142" spans="1:6" ht="15" customHeight="1" x14ac:dyDescent="0.2">
      <c r="A142" s="147">
        <v>10</v>
      </c>
      <c r="B142" s="169" t="s">
        <v>269</v>
      </c>
      <c r="C142" s="157">
        <v>11618066</v>
      </c>
      <c r="D142" s="157">
        <v>12149919</v>
      </c>
      <c r="E142" s="157">
        <f t="shared" si="8"/>
        <v>531853</v>
      </c>
      <c r="F142" s="161">
        <f t="shared" si="9"/>
        <v>4.577810110564013E-2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1773894</v>
      </c>
      <c r="D144" s="157">
        <v>1737806</v>
      </c>
      <c r="E144" s="157">
        <f t="shared" si="8"/>
        <v>-36088</v>
      </c>
      <c r="F144" s="161">
        <f t="shared" si="9"/>
        <v>-2.0343943888417232E-2</v>
      </c>
    </row>
    <row r="145" spans="1:6" ht="15" customHeight="1" x14ac:dyDescent="0.2">
      <c r="A145" s="147">
        <v>13</v>
      </c>
      <c r="B145" s="169" t="s">
        <v>272</v>
      </c>
      <c r="C145" s="157">
        <v>193223</v>
      </c>
      <c r="D145" s="157">
        <v>201424</v>
      </c>
      <c r="E145" s="157">
        <f t="shared" si="8"/>
        <v>8201</v>
      </c>
      <c r="F145" s="161">
        <f t="shared" si="9"/>
        <v>4.2443187405226089E-2</v>
      </c>
    </row>
    <row r="146" spans="1:6" ht="15" customHeight="1" x14ac:dyDescent="0.2">
      <c r="A146" s="147">
        <v>14</v>
      </c>
      <c r="B146" s="169" t="s">
        <v>273</v>
      </c>
      <c r="C146" s="157">
        <v>121449</v>
      </c>
      <c r="D146" s="157">
        <v>91295</v>
      </c>
      <c r="E146" s="157">
        <f t="shared" si="8"/>
        <v>-30154</v>
      </c>
      <c r="F146" s="161">
        <f t="shared" si="9"/>
        <v>-0.24828528847499773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92241</v>
      </c>
      <c r="D148" s="157">
        <v>91770</v>
      </c>
      <c r="E148" s="157">
        <f t="shared" si="8"/>
        <v>-471</v>
      </c>
      <c r="F148" s="161">
        <f t="shared" si="9"/>
        <v>-5.1061892217126878E-3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0</v>
      </c>
      <c r="D150" s="157">
        <v>0</v>
      </c>
      <c r="E150" s="157">
        <f t="shared" si="8"/>
        <v>0</v>
      </c>
      <c r="F150" s="161">
        <f t="shared" si="9"/>
        <v>0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4809944</v>
      </c>
      <c r="D154" s="157">
        <v>4248391</v>
      </c>
      <c r="E154" s="157">
        <f t="shared" si="8"/>
        <v>-561553</v>
      </c>
      <c r="F154" s="161">
        <f t="shared" si="9"/>
        <v>-0.11674834467927277</v>
      </c>
    </row>
    <row r="155" spans="1:6" ht="15" customHeight="1" x14ac:dyDescent="0.2">
      <c r="A155" s="147">
        <v>23</v>
      </c>
      <c r="B155" s="169" t="s">
        <v>282</v>
      </c>
      <c r="C155" s="157">
        <v>174970</v>
      </c>
      <c r="D155" s="157">
        <v>228987</v>
      </c>
      <c r="E155" s="157">
        <f t="shared" si="8"/>
        <v>54017</v>
      </c>
      <c r="F155" s="161">
        <f t="shared" si="9"/>
        <v>0.30872149511344804</v>
      </c>
    </row>
    <row r="156" spans="1:6" ht="15" customHeight="1" x14ac:dyDescent="0.2">
      <c r="A156" s="147">
        <v>24</v>
      </c>
      <c r="B156" s="169" t="s">
        <v>283</v>
      </c>
      <c r="C156" s="157">
        <v>10001468</v>
      </c>
      <c r="D156" s="157">
        <v>10109265</v>
      </c>
      <c r="E156" s="157">
        <f t="shared" si="8"/>
        <v>107797</v>
      </c>
      <c r="F156" s="161">
        <f t="shared" si="9"/>
        <v>1.0778117772311024E-2</v>
      </c>
    </row>
    <row r="157" spans="1:6" ht="15" customHeight="1" x14ac:dyDescent="0.2">
      <c r="A157" s="147">
        <v>25</v>
      </c>
      <c r="B157" s="169" t="s">
        <v>284</v>
      </c>
      <c r="C157" s="157">
        <v>253322</v>
      </c>
      <c r="D157" s="157">
        <v>268796</v>
      </c>
      <c r="E157" s="157">
        <f t="shared" si="8"/>
        <v>15474</v>
      </c>
      <c r="F157" s="161">
        <f t="shared" si="9"/>
        <v>6.1084311666574555E-2</v>
      </c>
    </row>
    <row r="158" spans="1:6" ht="15" customHeight="1" x14ac:dyDescent="0.2">
      <c r="A158" s="147">
        <v>26</v>
      </c>
      <c r="B158" s="169" t="s">
        <v>285</v>
      </c>
      <c r="C158" s="157">
        <v>348507</v>
      </c>
      <c r="D158" s="157">
        <v>285863</v>
      </c>
      <c r="E158" s="157">
        <f t="shared" si="8"/>
        <v>-62644</v>
      </c>
      <c r="F158" s="161">
        <f t="shared" si="9"/>
        <v>-0.17974961765473865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2163668</v>
      </c>
      <c r="D160" s="157">
        <v>2137126</v>
      </c>
      <c r="E160" s="157">
        <f t="shared" si="8"/>
        <v>-26542</v>
      </c>
      <c r="F160" s="161">
        <f t="shared" si="9"/>
        <v>-1.2267131556227665E-2</v>
      </c>
    </row>
    <row r="161" spans="1:6" ht="15" customHeight="1" x14ac:dyDescent="0.2">
      <c r="A161" s="147">
        <v>29</v>
      </c>
      <c r="B161" s="169" t="s">
        <v>288</v>
      </c>
      <c r="C161" s="157">
        <v>575985</v>
      </c>
      <c r="D161" s="157">
        <v>599002</v>
      </c>
      <c r="E161" s="157">
        <f t="shared" si="8"/>
        <v>23017</v>
      </c>
      <c r="F161" s="161">
        <f t="shared" si="9"/>
        <v>3.9961110098353257E-2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217865</v>
      </c>
      <c r="E163" s="157">
        <f t="shared" si="8"/>
        <v>217865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1907656</v>
      </c>
      <c r="D164" s="157">
        <v>1988824</v>
      </c>
      <c r="E164" s="157">
        <f t="shared" si="8"/>
        <v>81168</v>
      </c>
      <c r="F164" s="161">
        <f t="shared" si="9"/>
        <v>4.2548551730500678E-2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6554323</v>
      </c>
      <c r="D166" s="157">
        <v>5678519</v>
      </c>
      <c r="E166" s="157">
        <f t="shared" si="8"/>
        <v>-875804</v>
      </c>
      <c r="F166" s="161">
        <f t="shared" si="9"/>
        <v>-0.13362234360436614</v>
      </c>
    </row>
    <row r="167" spans="1:6" ht="15.75" customHeight="1" x14ac:dyDescent="0.25">
      <c r="A167" s="147"/>
      <c r="B167" s="165" t="s">
        <v>294</v>
      </c>
      <c r="C167" s="158">
        <f>SUM(C133:C166)</f>
        <v>63297603</v>
      </c>
      <c r="D167" s="158">
        <f>SUM(D133:D166)</f>
        <v>64363580</v>
      </c>
      <c r="E167" s="158">
        <f t="shared" si="8"/>
        <v>1065977</v>
      </c>
      <c r="F167" s="159">
        <f t="shared" si="9"/>
        <v>1.684071670138915E-2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6092325</v>
      </c>
      <c r="D170" s="157">
        <v>6066304</v>
      </c>
      <c r="E170" s="157">
        <f t="shared" ref="E170:E183" si="10">D170-C170</f>
        <v>-26021</v>
      </c>
      <c r="F170" s="161">
        <f t="shared" ref="F170:F183" si="11">IF(C170=0,0,E170/C170)</f>
        <v>-4.2711116035339548E-3</v>
      </c>
    </row>
    <row r="171" spans="1:6" ht="15" customHeight="1" x14ac:dyDescent="0.2">
      <c r="A171" s="147">
        <v>2</v>
      </c>
      <c r="B171" s="169" t="s">
        <v>297</v>
      </c>
      <c r="C171" s="157">
        <v>7016464</v>
      </c>
      <c r="D171" s="157">
        <v>6307305</v>
      </c>
      <c r="E171" s="157">
        <f t="shared" si="10"/>
        <v>-709159</v>
      </c>
      <c r="F171" s="161">
        <f t="shared" si="11"/>
        <v>-0.10107071026089495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4235497</v>
      </c>
      <c r="D173" s="157">
        <v>4635523</v>
      </c>
      <c r="E173" s="157">
        <f t="shared" si="10"/>
        <v>400026</v>
      </c>
      <c r="F173" s="161">
        <f t="shared" si="11"/>
        <v>9.4446059104752053E-2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1463305</v>
      </c>
      <c r="D175" s="157">
        <v>1657471</v>
      </c>
      <c r="E175" s="157">
        <f t="shared" si="10"/>
        <v>194166</v>
      </c>
      <c r="F175" s="161">
        <f t="shared" si="11"/>
        <v>0.13269004069554877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1262025</v>
      </c>
      <c r="D179" s="157">
        <v>1292037</v>
      </c>
      <c r="E179" s="157">
        <f t="shared" si="10"/>
        <v>30012</v>
      </c>
      <c r="F179" s="161">
        <f t="shared" si="11"/>
        <v>2.3780828430498602E-2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1174055</v>
      </c>
      <c r="D182" s="157">
        <v>1104706</v>
      </c>
      <c r="E182" s="157">
        <f t="shared" si="10"/>
        <v>-69349</v>
      </c>
      <c r="F182" s="161">
        <f t="shared" si="11"/>
        <v>-5.9067931229797581E-2</v>
      </c>
    </row>
    <row r="183" spans="1:6" ht="15.75" customHeight="1" x14ac:dyDescent="0.25">
      <c r="A183" s="147"/>
      <c r="B183" s="165" t="s">
        <v>309</v>
      </c>
      <c r="C183" s="158">
        <f>SUM(C170:C182)</f>
        <v>21243671</v>
      </c>
      <c r="D183" s="158">
        <f>SUM(D170:D182)</f>
        <v>21063346</v>
      </c>
      <c r="E183" s="158">
        <f t="shared" si="10"/>
        <v>-180325</v>
      </c>
      <c r="F183" s="159">
        <f t="shared" si="11"/>
        <v>-8.4884105011793862E-3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813829</v>
      </c>
      <c r="E186" s="157">
        <f>D186-C186</f>
        <v>813829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179724323</v>
      </c>
      <c r="D188" s="158">
        <f>+D186+D183+D167+D130+D121</f>
        <v>192710898</v>
      </c>
      <c r="E188" s="158">
        <f>D188-C188</f>
        <v>12986575</v>
      </c>
      <c r="F188" s="159">
        <f>IF(C188=0,0,E188/C188)</f>
        <v>7.2258305293491074E-2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B37" sqref="B3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172204267</v>
      </c>
      <c r="D11" s="183">
        <v>176292453</v>
      </c>
      <c r="E11" s="76">
        <v>169801942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17340796</v>
      </c>
      <c r="D12" s="185">
        <v>12387148</v>
      </c>
      <c r="E12" s="185">
        <v>10090574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189545063</v>
      </c>
      <c r="D13" s="76">
        <f>+D11+D12</f>
        <v>188679601</v>
      </c>
      <c r="E13" s="76">
        <f>+E11+E12</f>
        <v>179892516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185309559</v>
      </c>
      <c r="D14" s="185">
        <v>179724323</v>
      </c>
      <c r="E14" s="185">
        <v>192710898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4235504</v>
      </c>
      <c r="D15" s="76">
        <f>+D13-D14</f>
        <v>8955278</v>
      </c>
      <c r="E15" s="76">
        <f>+E13-E14</f>
        <v>-12818382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-1743322</v>
      </c>
      <c r="D16" s="185">
        <v>-1638670</v>
      </c>
      <c r="E16" s="185">
        <v>-3154786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2492182</v>
      </c>
      <c r="D17" s="76">
        <f>D15+D16</f>
        <v>7316608</v>
      </c>
      <c r="E17" s="76">
        <f>E15+E16</f>
        <v>-15973168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2.2553060357411704E-2</v>
      </c>
      <c r="D20" s="189">
        <f>IF(+D27=0,0,+D24/+D27)</f>
        <v>4.7878707361652298E-2</v>
      </c>
      <c r="E20" s="189">
        <f>IF(+E27=0,0,+E24/+E27)</f>
        <v>-7.2527705317930694E-2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-9.2827786937289356E-3</v>
      </c>
      <c r="D21" s="189">
        <f>IF(D27=0,0,+D26/D27)</f>
        <v>-8.7610235430233187E-3</v>
      </c>
      <c r="E21" s="189">
        <f>IF(E27=0,0,+E26/E27)</f>
        <v>-1.7850099127107721E-2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1.3270281663682767E-2</v>
      </c>
      <c r="D22" s="189">
        <f>IF(D27=0,0,+D28/D27)</f>
        <v>3.9117683818628984E-2</v>
      </c>
      <c r="E22" s="189">
        <f>IF(E27=0,0,+E28/E27)</f>
        <v>-9.0377804445038415E-2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4235504</v>
      </c>
      <c r="D24" s="76">
        <f>+D15</f>
        <v>8955278</v>
      </c>
      <c r="E24" s="76">
        <f>+E15</f>
        <v>-12818382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189545063</v>
      </c>
      <c r="D25" s="76">
        <f>+D13</f>
        <v>188679601</v>
      </c>
      <c r="E25" s="76">
        <f>+E13</f>
        <v>179892516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-1743322</v>
      </c>
      <c r="D26" s="76">
        <f>+D16</f>
        <v>-1638670</v>
      </c>
      <c r="E26" s="76">
        <f>+E16</f>
        <v>-3154786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187801741</v>
      </c>
      <c r="D27" s="76">
        <f>+D25+D26</f>
        <v>187040931</v>
      </c>
      <c r="E27" s="76">
        <f>+E25+E26</f>
        <v>176737730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2492182</v>
      </c>
      <c r="D28" s="76">
        <f>+D17</f>
        <v>7316608</v>
      </c>
      <c r="E28" s="76">
        <f>+E17</f>
        <v>-15973168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11344473</v>
      </c>
      <c r="D31" s="76">
        <v>2829380</v>
      </c>
      <c r="E31" s="76">
        <v>-16517740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24798417</v>
      </c>
      <c r="D32" s="76">
        <v>15005459</v>
      </c>
      <c r="E32" s="76">
        <v>-4496010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-12933323</v>
      </c>
      <c r="D33" s="76">
        <f>+D32-C32</f>
        <v>-9792958</v>
      </c>
      <c r="E33" s="76">
        <f>+E32-D32</f>
        <v>-19501469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0.65720000000000001</v>
      </c>
      <c r="D34" s="193">
        <f>IF(C32=0,0,+D33/C32)</f>
        <v>-0.3949025455939385</v>
      </c>
      <c r="E34" s="193">
        <f>IF(D32=0,0,+E33/D32)</f>
        <v>-1.2996249564908344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0.29922399509133907</v>
      </c>
      <c r="D38" s="195">
        <f>IF((D40+D41)=0,0,+D39/(D40+D41))</f>
        <v>0.29393921213121604</v>
      </c>
      <c r="E38" s="195">
        <f>IF((E40+E41)=0,0,+E39/(E40+E41))</f>
        <v>0.28265584292806306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185309559</v>
      </c>
      <c r="D39" s="76">
        <v>179724323</v>
      </c>
      <c r="E39" s="196">
        <v>192710898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601959668</v>
      </c>
      <c r="D40" s="76">
        <v>599046494</v>
      </c>
      <c r="E40" s="196">
        <v>671695785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17340796</v>
      </c>
      <c r="D41" s="76">
        <v>12387148</v>
      </c>
      <c r="E41" s="196">
        <v>10090574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1.36814802887894</v>
      </c>
      <c r="D43" s="197">
        <f>IF(D38=0,0,IF((D46-D47)=0,0,((+D44-D45)/(D46-D47)/D38)))</f>
        <v>1.5092370397332315</v>
      </c>
      <c r="E43" s="197">
        <f>IF(E38=0,0,IF((E46-E47)=0,0,((+E44-E45)/(E46-E47)/E38)))</f>
        <v>1.4814884840170865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85464345</v>
      </c>
      <c r="D44" s="76">
        <v>88293307</v>
      </c>
      <c r="E44" s="196">
        <v>93877570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408998</v>
      </c>
      <c r="D45" s="76">
        <v>349586</v>
      </c>
      <c r="E45" s="196">
        <v>0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216312756</v>
      </c>
      <c r="D46" s="76">
        <v>206779452</v>
      </c>
      <c r="E46" s="196">
        <v>234348517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8547887</v>
      </c>
      <c r="D47" s="76">
        <v>8540106</v>
      </c>
      <c r="E47" s="76">
        <v>10164012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0.81643074846935715</v>
      </c>
      <c r="D49" s="198">
        <f>IF(D38=0,0,IF(D51=0,0,(D50/D51)/D38))</f>
        <v>0.83673334405481803</v>
      </c>
      <c r="E49" s="198">
        <f>IF(E38=0,0,IF(E51=0,0,(E50/E51)/E38))</f>
        <v>0.76648729236516988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62692532</v>
      </c>
      <c r="D50" s="199">
        <v>63226062</v>
      </c>
      <c r="E50" s="199">
        <v>62331175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256625637</v>
      </c>
      <c r="D51" s="199">
        <v>257070079</v>
      </c>
      <c r="E51" s="199">
        <v>287701673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0.72131877557365465</v>
      </c>
      <c r="D53" s="198">
        <f>IF(D38=0,0,IF(D55=0,0,(D54/D55)/D38))</f>
        <v>0.75816206183356261</v>
      </c>
      <c r="E53" s="198">
        <f>IF(E38=0,0,IF(E55=0,0,(E54/E55)/E38))</f>
        <v>0.73933951986097357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27287201</v>
      </c>
      <c r="D54" s="199">
        <v>29387441</v>
      </c>
      <c r="E54" s="199">
        <v>30684547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126425691</v>
      </c>
      <c r="D55" s="199">
        <v>131868843</v>
      </c>
      <c r="E55" s="199">
        <v>146831024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2463730.4827753967</v>
      </c>
      <c r="D57" s="88">
        <f>+D60*D38</f>
        <v>2457363.5588518763</v>
      </c>
      <c r="E57" s="88">
        <f>+E60*E38</f>
        <v>3663048.1522510401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2411263</v>
      </c>
      <c r="D58" s="199">
        <v>1553798</v>
      </c>
      <c r="E58" s="199">
        <v>2297057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5822470</v>
      </c>
      <c r="D59" s="199">
        <v>6806310</v>
      </c>
      <c r="E59" s="199">
        <v>10662336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8233733</v>
      </c>
      <c r="D60" s="76">
        <v>8360108</v>
      </c>
      <c r="E60" s="201">
        <v>12959393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1.3295215293105287E-2</v>
      </c>
      <c r="D62" s="202">
        <f>IF(D63=0,0,+D57/D63)</f>
        <v>1.3672960442042541E-2</v>
      </c>
      <c r="E62" s="202">
        <f>IF(E63=0,0,+E57/E63)</f>
        <v>1.9007996902443161E-2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185309559</v>
      </c>
      <c r="D63" s="199">
        <v>179724323</v>
      </c>
      <c r="E63" s="199">
        <v>192710898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1.137136464486636</v>
      </c>
      <c r="D67" s="203">
        <f>IF(D69=0,0,D68/D69)</f>
        <v>1.1854852184742681</v>
      </c>
      <c r="E67" s="203">
        <f>IF(E69=0,0,E68/E69)</f>
        <v>0.55870273604466114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44942062</v>
      </c>
      <c r="D68" s="204">
        <v>40036272</v>
      </c>
      <c r="E68" s="204">
        <v>25999224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39522136</v>
      </c>
      <c r="D69" s="204">
        <v>33772055</v>
      </c>
      <c r="E69" s="204">
        <v>46534986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19.175455094798689</v>
      </c>
      <c r="D71" s="203">
        <f>IF((D77/365)=0,0,+D74/(D77/365))</f>
        <v>11.135675181557755</v>
      </c>
      <c r="E71" s="203">
        <f>IF((E77/365)=0,0,+E74/(E77/365))</f>
        <v>2.4994505018859057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9361439</v>
      </c>
      <c r="D72" s="183">
        <v>5266042</v>
      </c>
      <c r="E72" s="183">
        <v>1270245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9361439</v>
      </c>
      <c r="D74" s="204">
        <f>+D72+D73</f>
        <v>5266042</v>
      </c>
      <c r="E74" s="204">
        <f>+E72+E73</f>
        <v>1270245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185309559</v>
      </c>
      <c r="D75" s="204">
        <f>+D14</f>
        <v>179724323</v>
      </c>
      <c r="E75" s="204">
        <f>+E14</f>
        <v>192710898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7116905</v>
      </c>
      <c r="D76" s="204">
        <v>7116439</v>
      </c>
      <c r="E76" s="204">
        <v>7214356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178192654</v>
      </c>
      <c r="D77" s="204">
        <f>+D75-D76</f>
        <v>172607884</v>
      </c>
      <c r="E77" s="204">
        <f>+E75-E76</f>
        <v>185496542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51.439809589619522</v>
      </c>
      <c r="D79" s="203">
        <f>IF((D84/365)=0,0,+D83/(D84/365))</f>
        <v>54.58175957764908</v>
      </c>
      <c r="E79" s="203">
        <f>IF((E84/365)=0,0,+E83/(E84/365))</f>
        <v>34.904092940232687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25099884</v>
      </c>
      <c r="D80" s="212">
        <v>25143982</v>
      </c>
      <c r="E80" s="212">
        <v>17615410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3454150</v>
      </c>
      <c r="D81" s="212">
        <v>2821878</v>
      </c>
      <c r="E81" s="212">
        <v>1655706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4285117</v>
      </c>
      <c r="D82" s="212">
        <v>1603251</v>
      </c>
      <c r="E82" s="212">
        <v>3033355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24268917</v>
      </c>
      <c r="D83" s="212">
        <f>+D80+D81-D82</f>
        <v>26362609</v>
      </c>
      <c r="E83" s="212">
        <f>+E80+E81-E82</f>
        <v>16237761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172204267</v>
      </c>
      <c r="D84" s="204">
        <f>+D11</f>
        <v>176292453</v>
      </c>
      <c r="E84" s="204">
        <f>+E11</f>
        <v>169801942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80.9549625990755</v>
      </c>
      <c r="D86" s="203">
        <f>IF((D90/365)=0,0,+D87/(D90/365))</f>
        <v>71.415046574581723</v>
      </c>
      <c r="E86" s="203">
        <f>IF((E90/365)=0,0,+E87/(E90/365))</f>
        <v>91.566504188525514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39522136</v>
      </c>
      <c r="D87" s="76">
        <f>+D69</f>
        <v>33772055</v>
      </c>
      <c r="E87" s="76">
        <f>+E69</f>
        <v>46534986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185309559</v>
      </c>
      <c r="D88" s="76">
        <f t="shared" si="0"/>
        <v>179724323</v>
      </c>
      <c r="E88" s="76">
        <f t="shared" si="0"/>
        <v>192710898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7116905</v>
      </c>
      <c r="D89" s="201">
        <f t="shared" si="0"/>
        <v>7116439</v>
      </c>
      <c r="E89" s="201">
        <f t="shared" si="0"/>
        <v>7214356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178192654</v>
      </c>
      <c r="D90" s="76">
        <f>+D88-D89</f>
        <v>172607884</v>
      </c>
      <c r="E90" s="76">
        <f>+E88-E89</f>
        <v>185496542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15.330908080263491</v>
      </c>
      <c r="D94" s="214">
        <f>IF(D96=0,0,(D95/D96)*100)</f>
        <v>9.6002689912447643</v>
      </c>
      <c r="E94" s="214">
        <f>IF(E96=0,0,(E95/E96)*100)</f>
        <v>-3.8437379023192442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24798417</v>
      </c>
      <c r="D95" s="76">
        <f>+D32</f>
        <v>15005459</v>
      </c>
      <c r="E95" s="76">
        <f>+E32</f>
        <v>-4496010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161754391</v>
      </c>
      <c r="D96" s="76">
        <v>156302485</v>
      </c>
      <c r="E96" s="76">
        <v>116969734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10.683510207440671</v>
      </c>
      <c r="D98" s="214">
        <f>IF(D104=0,0,(D101/D104)*100)</f>
        <v>17.333468400960623</v>
      </c>
      <c r="E98" s="214">
        <f>IF(E104=0,0,(E101/E104)*100)</f>
        <v>-16.631396740715534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2492182</v>
      </c>
      <c r="D99" s="76">
        <f>+D28</f>
        <v>7316608</v>
      </c>
      <c r="E99" s="76">
        <f>+E28</f>
        <v>-15973168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7116905</v>
      </c>
      <c r="D100" s="201">
        <f>+D76</f>
        <v>7116439</v>
      </c>
      <c r="E100" s="201">
        <f>+E76</f>
        <v>7214356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9609087</v>
      </c>
      <c r="D101" s="76">
        <f>+D99+D100</f>
        <v>14433047</v>
      </c>
      <c r="E101" s="76">
        <f>+E99+E100</f>
        <v>-8758812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39522136</v>
      </c>
      <c r="D102" s="204">
        <f>+D69</f>
        <v>33772055</v>
      </c>
      <c r="E102" s="204">
        <f>+E69</f>
        <v>46534986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50421027</v>
      </c>
      <c r="D103" s="216">
        <v>49494875</v>
      </c>
      <c r="E103" s="216">
        <v>6129334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89943163</v>
      </c>
      <c r="D104" s="204">
        <f>+D102+D103</f>
        <v>83266930</v>
      </c>
      <c r="E104" s="204">
        <f>+E102+E103</f>
        <v>52664320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67.031906005580154</v>
      </c>
      <c r="D106" s="214">
        <f>IF(D109=0,0,(D107/D109)*100)</f>
        <v>76.735842949278378</v>
      </c>
      <c r="E106" s="214">
        <f>IF(E109=0,0,(E107/E109)*100)</f>
        <v>375.26749132444024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50421027</v>
      </c>
      <c r="D107" s="204">
        <f>+D103</f>
        <v>49494875</v>
      </c>
      <c r="E107" s="204">
        <f>+E103</f>
        <v>6129334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24798417</v>
      </c>
      <c r="D108" s="204">
        <f>+D32</f>
        <v>15005459</v>
      </c>
      <c r="E108" s="204">
        <f>+E32</f>
        <v>-4496010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75219444</v>
      </c>
      <c r="D109" s="204">
        <f>+D107+D108</f>
        <v>64500334</v>
      </c>
      <c r="E109" s="204">
        <f>+E107+E108</f>
        <v>1633324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1.8111501140442332</v>
      </c>
      <c r="D111" s="214">
        <f>IF((+D113+D115)=0,0,((+D112+D113+D114)/(+D113+D115)))</f>
        <v>1.9617503825394027</v>
      </c>
      <c r="E111" s="214">
        <f>IF((+E113+E115)=0,0,((+E112+E113+E114)/(+E113+E115)))</f>
        <v>-0.11891371680192096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2492182</v>
      </c>
      <c r="D112" s="76">
        <f>+D17</f>
        <v>7316608</v>
      </c>
      <c r="E112" s="76">
        <f>+E17</f>
        <v>-15973168</v>
      </c>
    </row>
    <row r="113" spans="1:8" ht="24" customHeight="1" x14ac:dyDescent="0.2">
      <c r="A113" s="85">
        <v>17</v>
      </c>
      <c r="B113" s="75" t="s">
        <v>88</v>
      </c>
      <c r="C113" s="218">
        <v>2589201</v>
      </c>
      <c r="D113" s="76">
        <v>2358063</v>
      </c>
      <c r="E113" s="76">
        <v>2266813</v>
      </c>
    </row>
    <row r="114" spans="1:8" ht="24" customHeight="1" x14ac:dyDescent="0.2">
      <c r="A114" s="85">
        <v>18</v>
      </c>
      <c r="B114" s="75" t="s">
        <v>374</v>
      </c>
      <c r="C114" s="218">
        <v>7116905</v>
      </c>
      <c r="D114" s="76">
        <v>7116439</v>
      </c>
      <c r="E114" s="76">
        <v>7214356</v>
      </c>
    </row>
    <row r="115" spans="1:8" ht="24" customHeight="1" x14ac:dyDescent="0.2">
      <c r="A115" s="85">
        <v>19</v>
      </c>
      <c r="B115" s="75" t="s">
        <v>104</v>
      </c>
      <c r="C115" s="218">
        <v>4145905</v>
      </c>
      <c r="D115" s="76">
        <v>6201186</v>
      </c>
      <c r="E115" s="76">
        <v>52327385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19.879552839331144</v>
      </c>
      <c r="D119" s="214">
        <f>IF(+D121=0,0,(+D120)/(+D121))</f>
        <v>20.853147901640131</v>
      </c>
      <c r="E119" s="214">
        <f>IF(+E121=0,0,(+E120)/(+E121))</f>
        <v>21.360059858426727</v>
      </c>
    </row>
    <row r="120" spans="1:8" ht="24" customHeight="1" x14ac:dyDescent="0.2">
      <c r="A120" s="85">
        <v>21</v>
      </c>
      <c r="B120" s="75" t="s">
        <v>378</v>
      </c>
      <c r="C120" s="218">
        <v>141480889</v>
      </c>
      <c r="D120" s="218">
        <v>148400155</v>
      </c>
      <c r="E120" s="218">
        <v>154099076</v>
      </c>
    </row>
    <row r="121" spans="1:8" ht="24" customHeight="1" x14ac:dyDescent="0.2">
      <c r="A121" s="85">
        <v>22</v>
      </c>
      <c r="B121" s="75" t="s">
        <v>374</v>
      </c>
      <c r="C121" s="218">
        <v>7116905</v>
      </c>
      <c r="D121" s="218">
        <v>7116439</v>
      </c>
      <c r="E121" s="218">
        <v>7214356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44106</v>
      </c>
      <c r="D124" s="218">
        <v>40692</v>
      </c>
      <c r="E124" s="218">
        <v>44776</v>
      </c>
    </row>
    <row r="125" spans="1:8" ht="24" customHeight="1" x14ac:dyDescent="0.2">
      <c r="A125" s="85">
        <v>2</v>
      </c>
      <c r="B125" s="75" t="s">
        <v>381</v>
      </c>
      <c r="C125" s="218">
        <v>9110</v>
      </c>
      <c r="D125" s="218">
        <v>8806</v>
      </c>
      <c r="E125" s="218">
        <v>9365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4.8414928649835343</v>
      </c>
      <c r="D126" s="219">
        <f>IF(D125=0,0,D124/D125)</f>
        <v>4.6209402679990914</v>
      </c>
      <c r="E126" s="219">
        <f>IF(E125=0,0,E124/E125)</f>
        <v>4.7812066203950883</v>
      </c>
    </row>
    <row r="127" spans="1:8" ht="24" customHeight="1" x14ac:dyDescent="0.2">
      <c r="A127" s="85">
        <v>4</v>
      </c>
      <c r="B127" s="75" t="s">
        <v>383</v>
      </c>
      <c r="C127" s="218">
        <v>171</v>
      </c>
      <c r="D127" s="218">
        <v>181</v>
      </c>
      <c r="E127" s="218">
        <v>174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283</v>
      </c>
      <c r="E128" s="218">
        <v>283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283</v>
      </c>
      <c r="D129" s="218">
        <v>283</v>
      </c>
      <c r="E129" s="218">
        <v>283</v>
      </c>
    </row>
    <row r="130" spans="1:7" ht="24" customHeight="1" x14ac:dyDescent="0.2">
      <c r="A130" s="85">
        <v>7</v>
      </c>
      <c r="B130" s="75" t="s">
        <v>386</v>
      </c>
      <c r="C130" s="193">
        <v>0.70660000000000001</v>
      </c>
      <c r="D130" s="193">
        <v>0.6159</v>
      </c>
      <c r="E130" s="193">
        <v>0.70499999999999996</v>
      </c>
    </row>
    <row r="131" spans="1:7" ht="24" customHeight="1" x14ac:dyDescent="0.2">
      <c r="A131" s="85">
        <v>8</v>
      </c>
      <c r="B131" s="75" t="s">
        <v>387</v>
      </c>
      <c r="C131" s="193">
        <v>0.4269</v>
      </c>
      <c r="D131" s="193">
        <v>0.39389999999999997</v>
      </c>
      <c r="E131" s="193">
        <v>0.43340000000000001</v>
      </c>
    </row>
    <row r="132" spans="1:7" ht="24" customHeight="1" x14ac:dyDescent="0.2">
      <c r="A132" s="85">
        <v>9</v>
      </c>
      <c r="B132" s="75" t="s">
        <v>388</v>
      </c>
      <c r="C132" s="219">
        <v>1152.7</v>
      </c>
      <c r="D132" s="219">
        <v>1134.5999999999999</v>
      </c>
      <c r="E132" s="219">
        <v>1081.5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0.34514749084485175</v>
      </c>
      <c r="D135" s="227">
        <f>IF(D149=0,0,D143/D149)</f>
        <v>0.33092480798326818</v>
      </c>
      <c r="E135" s="227">
        <f>IF(E149=0,0,E143/E149)</f>
        <v>0.33375898733680454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0.42631699537717199</v>
      </c>
      <c r="D136" s="227">
        <f>IF(D149=0,0,D144/D149)</f>
        <v>0.42913209838433675</v>
      </c>
      <c r="E136" s="227">
        <f>IF(E149=0,0,E144/E149)</f>
        <v>0.42832139105949579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0.21002352436675209</v>
      </c>
      <c r="D137" s="227">
        <f>IF(D149=0,0,D145/D149)</f>
        <v>0.22013123241816351</v>
      </c>
      <c r="E137" s="227">
        <f>IF(E149=0,0,E145/E149)</f>
        <v>0.21859750690560012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1.4200099200001553E-2</v>
      </c>
      <c r="D139" s="227">
        <f>IF(D149=0,0,D147/D149)</f>
        <v>1.4256165565673105E-2</v>
      </c>
      <c r="E139" s="227">
        <f>IF(E149=0,0,E147/E149)</f>
        <v>1.5131868067327532E-2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4.3118902112225894E-3</v>
      </c>
      <c r="D140" s="227">
        <f>IF(D149=0,0,D148/D149)</f>
        <v>5.5556956485584572E-3</v>
      </c>
      <c r="E140" s="227">
        <f>IF(E149=0,0,E148/E149)</f>
        <v>4.1902466307719944E-3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207764869</v>
      </c>
      <c r="D143" s="229">
        <f>+D46-D147</f>
        <v>198239346</v>
      </c>
      <c r="E143" s="229">
        <f>+E46-E147</f>
        <v>224184505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256625637</v>
      </c>
      <c r="D144" s="229">
        <f>+D51</f>
        <v>257070079</v>
      </c>
      <c r="E144" s="229">
        <f>+E51</f>
        <v>287701673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126425691</v>
      </c>
      <c r="D145" s="229">
        <f>+D55</f>
        <v>131868843</v>
      </c>
      <c r="E145" s="229">
        <f>+E55</f>
        <v>146831024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8547887</v>
      </c>
      <c r="D147" s="229">
        <f>+D47</f>
        <v>8540106</v>
      </c>
      <c r="E147" s="229">
        <f>+E47</f>
        <v>10164012</v>
      </c>
    </row>
    <row r="148" spans="1:7" ht="20.100000000000001" customHeight="1" x14ac:dyDescent="0.2">
      <c r="A148" s="226">
        <v>13</v>
      </c>
      <c r="B148" s="224" t="s">
        <v>402</v>
      </c>
      <c r="C148" s="230">
        <v>2595584</v>
      </c>
      <c r="D148" s="229">
        <v>3328120</v>
      </c>
      <c r="E148" s="229">
        <v>2814571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601959668</v>
      </c>
      <c r="D149" s="229">
        <f>SUM(D143:D148)</f>
        <v>599046494</v>
      </c>
      <c r="E149" s="229">
        <f>SUM(E143:E148)</f>
        <v>671695785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0.48299136287426042</v>
      </c>
      <c r="D152" s="227">
        <f>IF(D166=0,0,D160/D166)</f>
        <v>0.48421371507214012</v>
      </c>
      <c r="E152" s="227">
        <f>IF(E166=0,0,E160/E166)</f>
        <v>0.4998842483482413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0.3560029150515156</v>
      </c>
      <c r="D153" s="227">
        <f>IF(D166=0,0,D161/D166)</f>
        <v>0.34811952487661357</v>
      </c>
      <c r="E153" s="227">
        <f>IF(E166=0,0,E161/E166)</f>
        <v>0.33190433629180738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0.15495183859533113</v>
      </c>
      <c r="D154" s="227">
        <f>IF(D166=0,0,D162/D166)</f>
        <v>0.16180577557178105</v>
      </c>
      <c r="E154" s="227">
        <f>IF(E166=0,0,E162/E166)</f>
        <v>0.16339069825732902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2.3225171420774614E-3</v>
      </c>
      <c r="D156" s="227">
        <f>IF(D166=0,0,D164/D166)</f>
        <v>1.924802974816237E-3</v>
      </c>
      <c r="E156" s="227">
        <f>IF(E166=0,0,E164/E166)</f>
        <v>0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3.7313663368153771E-3</v>
      </c>
      <c r="D157" s="227">
        <f>IF(D166=0,0,D165/D166)</f>
        <v>3.9361815046490096E-3</v>
      </c>
      <c r="E157" s="227">
        <f>IF(E166=0,0,E165/E166)</f>
        <v>4.8207171026223112E-3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85055347</v>
      </c>
      <c r="D160" s="229">
        <f>+D44-D164</f>
        <v>87943721</v>
      </c>
      <c r="E160" s="229">
        <f>+E44-E164</f>
        <v>93877570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62692532</v>
      </c>
      <c r="D161" s="229">
        <f>+D50</f>
        <v>63226062</v>
      </c>
      <c r="E161" s="229">
        <f>+E50</f>
        <v>62331175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27287201</v>
      </c>
      <c r="D162" s="229">
        <f>+D54</f>
        <v>29387441</v>
      </c>
      <c r="E162" s="229">
        <f>+E54</f>
        <v>30684547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408998</v>
      </c>
      <c r="D164" s="229">
        <f>+D45</f>
        <v>349586</v>
      </c>
      <c r="E164" s="229">
        <f>+E45</f>
        <v>0</v>
      </c>
    </row>
    <row r="165" spans="1:6" ht="20.100000000000001" customHeight="1" x14ac:dyDescent="0.2">
      <c r="A165" s="226">
        <v>13</v>
      </c>
      <c r="B165" s="224" t="s">
        <v>417</v>
      </c>
      <c r="C165" s="230">
        <v>657098</v>
      </c>
      <c r="D165" s="229">
        <v>714896</v>
      </c>
      <c r="E165" s="229">
        <v>905324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176101176</v>
      </c>
      <c r="D166" s="229">
        <f>SUM(D160:D165)</f>
        <v>181621706</v>
      </c>
      <c r="E166" s="229">
        <f>SUM(E160:E165)</f>
        <v>187798616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3214</v>
      </c>
      <c r="D169" s="218">
        <v>3108</v>
      </c>
      <c r="E169" s="218">
        <v>3258</v>
      </c>
    </row>
    <row r="170" spans="1:6" ht="20.100000000000001" customHeight="1" x14ac:dyDescent="0.2">
      <c r="A170" s="226">
        <v>2</v>
      </c>
      <c r="B170" s="224" t="s">
        <v>420</v>
      </c>
      <c r="C170" s="218">
        <v>3676</v>
      </c>
      <c r="D170" s="218">
        <v>3353</v>
      </c>
      <c r="E170" s="218">
        <v>3476</v>
      </c>
    </row>
    <row r="171" spans="1:6" ht="20.100000000000001" customHeight="1" x14ac:dyDescent="0.2">
      <c r="A171" s="226">
        <v>3</v>
      </c>
      <c r="B171" s="224" t="s">
        <v>421</v>
      </c>
      <c r="C171" s="218">
        <v>2180</v>
      </c>
      <c r="D171" s="218">
        <v>2269</v>
      </c>
      <c r="E171" s="218">
        <v>2586</v>
      </c>
    </row>
    <row r="172" spans="1:6" ht="20.100000000000001" customHeight="1" x14ac:dyDescent="0.2">
      <c r="A172" s="226">
        <v>4</v>
      </c>
      <c r="B172" s="224" t="s">
        <v>422</v>
      </c>
      <c r="C172" s="218">
        <v>2180</v>
      </c>
      <c r="D172" s="218">
        <v>2269</v>
      </c>
      <c r="E172" s="218">
        <v>2586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40</v>
      </c>
      <c r="D174" s="218">
        <v>76</v>
      </c>
      <c r="E174" s="218">
        <v>45</v>
      </c>
    </row>
    <row r="175" spans="1:6" ht="20.100000000000001" customHeight="1" x14ac:dyDescent="0.2">
      <c r="A175" s="226">
        <v>7</v>
      </c>
      <c r="B175" s="224" t="s">
        <v>425</v>
      </c>
      <c r="C175" s="218">
        <v>101</v>
      </c>
      <c r="D175" s="218">
        <v>64</v>
      </c>
      <c r="E175" s="218">
        <v>77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9110</v>
      </c>
      <c r="D176" s="218">
        <f>+D169+D170+D171+D174</f>
        <v>8806</v>
      </c>
      <c r="E176" s="218">
        <f>+E169+E170+E171+E174</f>
        <v>9365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1.0006200000000001</v>
      </c>
      <c r="D179" s="231">
        <v>1.02108</v>
      </c>
      <c r="E179" s="231">
        <v>1.0587</v>
      </c>
    </row>
    <row r="180" spans="1:6" ht="20.100000000000001" customHeight="1" x14ac:dyDescent="0.2">
      <c r="A180" s="226">
        <v>2</v>
      </c>
      <c r="B180" s="224" t="s">
        <v>420</v>
      </c>
      <c r="C180" s="231">
        <v>1.46454</v>
      </c>
      <c r="D180" s="231">
        <v>1.48956</v>
      </c>
      <c r="E180" s="231">
        <v>1.5199</v>
      </c>
    </row>
    <row r="181" spans="1:6" ht="20.100000000000001" customHeight="1" x14ac:dyDescent="0.2">
      <c r="A181" s="226">
        <v>3</v>
      </c>
      <c r="B181" s="224" t="s">
        <v>421</v>
      </c>
      <c r="C181" s="231">
        <v>1.0111699999999999</v>
      </c>
      <c r="D181" s="231">
        <v>1.02108</v>
      </c>
      <c r="E181" s="231">
        <v>1.0337000000000001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1.0111699999999999</v>
      </c>
      <c r="D182" s="231">
        <v>1.02108</v>
      </c>
      <c r="E182" s="231">
        <v>1.0337000000000001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1.1261000000000001</v>
      </c>
      <c r="D184" s="231">
        <v>1.0809</v>
      </c>
      <c r="E184" s="231">
        <v>1.0025999999999999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1.0187999999999999</v>
      </c>
      <c r="D185" s="231">
        <v>1.0867899999999999</v>
      </c>
      <c r="E185" s="231">
        <v>1.1203000000000001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1.190893</v>
      </c>
      <c r="D186" s="231">
        <v>1.1999759999999999</v>
      </c>
      <c r="E186" s="231">
        <v>1.22271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5484</v>
      </c>
      <c r="D189" s="218">
        <v>4907</v>
      </c>
      <c r="E189" s="218">
        <v>5341</v>
      </c>
    </row>
    <row r="190" spans="1:6" ht="20.100000000000001" customHeight="1" x14ac:dyDescent="0.2">
      <c r="A190" s="226">
        <v>2</v>
      </c>
      <c r="B190" s="224" t="s">
        <v>433</v>
      </c>
      <c r="C190" s="218">
        <v>35557</v>
      </c>
      <c r="D190" s="218">
        <v>34872</v>
      </c>
      <c r="E190" s="218">
        <v>34171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41041</v>
      </c>
      <c r="D191" s="218">
        <f>+D190+D189</f>
        <v>39779</v>
      </c>
      <c r="E191" s="218">
        <f>+E190+E189</f>
        <v>39512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B37" sqref="B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961627</v>
      </c>
      <c r="D14" s="258">
        <v>1751052</v>
      </c>
      <c r="E14" s="258">
        <f t="shared" ref="E14:E24" si="0">D14-C14</f>
        <v>789425</v>
      </c>
      <c r="F14" s="259">
        <f t="shared" ref="F14:F24" si="1">IF(C14=0,0,E14/C14)</f>
        <v>0.82092640909625036</v>
      </c>
    </row>
    <row r="15" spans="1:7" ht="20.25" customHeight="1" x14ac:dyDescent="0.3">
      <c r="A15" s="256">
        <v>2</v>
      </c>
      <c r="B15" s="257" t="s">
        <v>442</v>
      </c>
      <c r="C15" s="258">
        <v>219976</v>
      </c>
      <c r="D15" s="258">
        <v>655013</v>
      </c>
      <c r="E15" s="258">
        <f t="shared" si="0"/>
        <v>435037</v>
      </c>
      <c r="F15" s="259">
        <f t="shared" si="1"/>
        <v>1.9776566534531039</v>
      </c>
    </row>
    <row r="16" spans="1:7" ht="20.25" customHeight="1" x14ac:dyDescent="0.3">
      <c r="A16" s="256">
        <v>3</v>
      </c>
      <c r="B16" s="257" t="s">
        <v>443</v>
      </c>
      <c r="C16" s="258">
        <v>1467290</v>
      </c>
      <c r="D16" s="258">
        <v>4296177</v>
      </c>
      <c r="E16" s="258">
        <f t="shared" si="0"/>
        <v>2828887</v>
      </c>
      <c r="F16" s="259">
        <f t="shared" si="1"/>
        <v>1.9279672048470309</v>
      </c>
    </row>
    <row r="17" spans="1:6" ht="20.25" customHeight="1" x14ac:dyDescent="0.3">
      <c r="A17" s="256">
        <v>4</v>
      </c>
      <c r="B17" s="257" t="s">
        <v>444</v>
      </c>
      <c r="C17" s="258">
        <v>269112</v>
      </c>
      <c r="D17" s="258">
        <v>773287</v>
      </c>
      <c r="E17" s="258">
        <f t="shared" si="0"/>
        <v>504175</v>
      </c>
      <c r="F17" s="259">
        <f t="shared" si="1"/>
        <v>1.8734764707631024</v>
      </c>
    </row>
    <row r="18" spans="1:6" ht="20.25" customHeight="1" x14ac:dyDescent="0.3">
      <c r="A18" s="256">
        <v>5</v>
      </c>
      <c r="B18" s="257" t="s">
        <v>381</v>
      </c>
      <c r="C18" s="260">
        <v>29</v>
      </c>
      <c r="D18" s="260">
        <v>97</v>
      </c>
      <c r="E18" s="260">
        <f t="shared" si="0"/>
        <v>68</v>
      </c>
      <c r="F18" s="259">
        <f t="shared" si="1"/>
        <v>2.3448275862068964</v>
      </c>
    </row>
    <row r="19" spans="1:6" ht="20.25" customHeight="1" x14ac:dyDescent="0.3">
      <c r="A19" s="256">
        <v>6</v>
      </c>
      <c r="B19" s="257" t="s">
        <v>380</v>
      </c>
      <c r="C19" s="260">
        <v>161</v>
      </c>
      <c r="D19" s="260">
        <v>744</v>
      </c>
      <c r="E19" s="260">
        <f t="shared" si="0"/>
        <v>583</v>
      </c>
      <c r="F19" s="259">
        <f t="shared" si="1"/>
        <v>3.6211180124223601</v>
      </c>
    </row>
    <row r="20" spans="1:6" ht="20.25" customHeight="1" x14ac:dyDescent="0.3">
      <c r="A20" s="256">
        <v>7</v>
      </c>
      <c r="B20" s="257" t="s">
        <v>445</v>
      </c>
      <c r="C20" s="260">
        <v>772</v>
      </c>
      <c r="D20" s="260">
        <v>2233</v>
      </c>
      <c r="E20" s="260">
        <f t="shared" si="0"/>
        <v>1461</v>
      </c>
      <c r="F20" s="259">
        <f t="shared" si="1"/>
        <v>1.8924870466321244</v>
      </c>
    </row>
    <row r="21" spans="1:6" ht="20.25" customHeight="1" x14ac:dyDescent="0.3">
      <c r="A21" s="256">
        <v>8</v>
      </c>
      <c r="B21" s="257" t="s">
        <v>446</v>
      </c>
      <c r="C21" s="260">
        <v>81</v>
      </c>
      <c r="D21" s="260">
        <v>293</v>
      </c>
      <c r="E21" s="260">
        <f t="shared" si="0"/>
        <v>212</v>
      </c>
      <c r="F21" s="259">
        <f t="shared" si="1"/>
        <v>2.617283950617284</v>
      </c>
    </row>
    <row r="22" spans="1:6" ht="20.25" customHeight="1" x14ac:dyDescent="0.3">
      <c r="A22" s="256">
        <v>9</v>
      </c>
      <c r="B22" s="257" t="s">
        <v>447</v>
      </c>
      <c r="C22" s="260">
        <v>24</v>
      </c>
      <c r="D22" s="260">
        <v>122</v>
      </c>
      <c r="E22" s="260">
        <f t="shared" si="0"/>
        <v>98</v>
      </c>
      <c r="F22" s="259">
        <f t="shared" si="1"/>
        <v>4.083333333333333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2428917</v>
      </c>
      <c r="D23" s="263">
        <f>+D14+D16</f>
        <v>6047229</v>
      </c>
      <c r="E23" s="263">
        <f t="shared" si="0"/>
        <v>3618312</v>
      </c>
      <c r="F23" s="264">
        <f t="shared" si="1"/>
        <v>1.4896812035981468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489088</v>
      </c>
      <c r="D24" s="263">
        <f>+D15+D17</f>
        <v>1428300</v>
      </c>
      <c r="E24" s="263">
        <f t="shared" si="0"/>
        <v>939212</v>
      </c>
      <c r="F24" s="264">
        <f t="shared" si="1"/>
        <v>1.9203333551426329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2999</v>
      </c>
      <c r="D29" s="258">
        <v>0</v>
      </c>
      <c r="E29" s="258">
        <f t="shared" si="2"/>
        <v>-2999</v>
      </c>
      <c r="F29" s="259">
        <f t="shared" si="3"/>
        <v>-1</v>
      </c>
    </row>
    <row r="30" spans="1:6" ht="20.25" customHeight="1" x14ac:dyDescent="0.3">
      <c r="A30" s="256">
        <v>4</v>
      </c>
      <c r="B30" s="257" t="s">
        <v>444</v>
      </c>
      <c r="C30" s="258">
        <v>302</v>
      </c>
      <c r="D30" s="258">
        <v>0</v>
      </c>
      <c r="E30" s="258">
        <f t="shared" si="2"/>
        <v>-302</v>
      </c>
      <c r="F30" s="259">
        <f t="shared" si="3"/>
        <v>-1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4</v>
      </c>
      <c r="D33" s="260">
        <v>0</v>
      </c>
      <c r="E33" s="260">
        <f t="shared" si="2"/>
        <v>-4</v>
      </c>
      <c r="F33" s="259">
        <f t="shared" si="3"/>
        <v>-1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2999</v>
      </c>
      <c r="D36" s="263">
        <f>+D27+D29</f>
        <v>0</v>
      </c>
      <c r="E36" s="263">
        <f t="shared" si="2"/>
        <v>-2999</v>
      </c>
      <c r="F36" s="264">
        <f t="shared" si="3"/>
        <v>-1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302</v>
      </c>
      <c r="D37" s="263">
        <f>+D28+D30</f>
        <v>0</v>
      </c>
      <c r="E37" s="263">
        <f t="shared" si="2"/>
        <v>-302</v>
      </c>
      <c r="F37" s="264">
        <f t="shared" si="3"/>
        <v>-1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10655866</v>
      </c>
      <c r="D40" s="258">
        <v>9852628</v>
      </c>
      <c r="E40" s="258">
        <f t="shared" ref="E40:E50" si="4">D40-C40</f>
        <v>-803238</v>
      </c>
      <c r="F40" s="259">
        <f t="shared" ref="F40:F50" si="5">IF(C40=0,0,E40/C40)</f>
        <v>-7.5379889349209153E-2</v>
      </c>
    </row>
    <row r="41" spans="1:6" ht="20.25" customHeight="1" x14ac:dyDescent="0.3">
      <c r="A41" s="256">
        <v>2</v>
      </c>
      <c r="B41" s="257" t="s">
        <v>442</v>
      </c>
      <c r="C41" s="258">
        <v>3048860</v>
      </c>
      <c r="D41" s="258">
        <v>2965987</v>
      </c>
      <c r="E41" s="258">
        <f t="shared" si="4"/>
        <v>-82873</v>
      </c>
      <c r="F41" s="259">
        <f t="shared" si="5"/>
        <v>-2.7181635102956514E-2</v>
      </c>
    </row>
    <row r="42" spans="1:6" ht="20.25" customHeight="1" x14ac:dyDescent="0.3">
      <c r="A42" s="256">
        <v>3</v>
      </c>
      <c r="B42" s="257" t="s">
        <v>443</v>
      </c>
      <c r="C42" s="258">
        <v>18135690</v>
      </c>
      <c r="D42" s="258">
        <v>17882636</v>
      </c>
      <c r="E42" s="258">
        <f t="shared" si="4"/>
        <v>-253054</v>
      </c>
      <c r="F42" s="259">
        <f t="shared" si="5"/>
        <v>-1.3953370398369183E-2</v>
      </c>
    </row>
    <row r="43" spans="1:6" ht="20.25" customHeight="1" x14ac:dyDescent="0.3">
      <c r="A43" s="256">
        <v>4</v>
      </c>
      <c r="B43" s="257" t="s">
        <v>444</v>
      </c>
      <c r="C43" s="258">
        <v>3603998</v>
      </c>
      <c r="D43" s="258">
        <v>4482925</v>
      </c>
      <c r="E43" s="258">
        <f t="shared" si="4"/>
        <v>878927</v>
      </c>
      <c r="F43" s="259">
        <f t="shared" si="5"/>
        <v>0.24387555154026166</v>
      </c>
    </row>
    <row r="44" spans="1:6" ht="20.25" customHeight="1" x14ac:dyDescent="0.3">
      <c r="A44" s="256">
        <v>5</v>
      </c>
      <c r="B44" s="257" t="s">
        <v>381</v>
      </c>
      <c r="C44" s="260">
        <v>303</v>
      </c>
      <c r="D44" s="260">
        <v>335</v>
      </c>
      <c r="E44" s="260">
        <f t="shared" si="4"/>
        <v>32</v>
      </c>
      <c r="F44" s="259">
        <f t="shared" si="5"/>
        <v>0.10561056105610561</v>
      </c>
    </row>
    <row r="45" spans="1:6" ht="20.25" customHeight="1" x14ac:dyDescent="0.3">
      <c r="A45" s="256">
        <v>6</v>
      </c>
      <c r="B45" s="257" t="s">
        <v>380</v>
      </c>
      <c r="C45" s="260">
        <v>1475</v>
      </c>
      <c r="D45" s="260">
        <v>1587</v>
      </c>
      <c r="E45" s="260">
        <f t="shared" si="4"/>
        <v>112</v>
      </c>
      <c r="F45" s="259">
        <f t="shared" si="5"/>
        <v>7.5932203389830505E-2</v>
      </c>
    </row>
    <row r="46" spans="1:6" ht="20.25" customHeight="1" x14ac:dyDescent="0.3">
      <c r="A46" s="256">
        <v>7</v>
      </c>
      <c r="B46" s="257" t="s">
        <v>445</v>
      </c>
      <c r="C46" s="260">
        <v>13265</v>
      </c>
      <c r="D46" s="260">
        <v>11938</v>
      </c>
      <c r="E46" s="260">
        <f t="shared" si="4"/>
        <v>-1327</v>
      </c>
      <c r="F46" s="259">
        <f t="shared" si="5"/>
        <v>-0.10003769317753487</v>
      </c>
    </row>
    <row r="47" spans="1:6" ht="20.25" customHeight="1" x14ac:dyDescent="0.3">
      <c r="A47" s="256">
        <v>8</v>
      </c>
      <c r="B47" s="257" t="s">
        <v>446</v>
      </c>
      <c r="C47" s="260">
        <v>661</v>
      </c>
      <c r="D47" s="260">
        <v>686</v>
      </c>
      <c r="E47" s="260">
        <f t="shared" si="4"/>
        <v>25</v>
      </c>
      <c r="F47" s="259">
        <f t="shared" si="5"/>
        <v>3.7821482602118005E-2</v>
      </c>
    </row>
    <row r="48" spans="1:6" ht="20.25" customHeight="1" x14ac:dyDescent="0.3">
      <c r="A48" s="256">
        <v>9</v>
      </c>
      <c r="B48" s="257" t="s">
        <v>447</v>
      </c>
      <c r="C48" s="260">
        <v>245</v>
      </c>
      <c r="D48" s="260">
        <v>407</v>
      </c>
      <c r="E48" s="260">
        <f t="shared" si="4"/>
        <v>162</v>
      </c>
      <c r="F48" s="259">
        <f t="shared" si="5"/>
        <v>0.66122448979591841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28791556</v>
      </c>
      <c r="D49" s="263">
        <f>+D40+D42</f>
        <v>27735264</v>
      </c>
      <c r="E49" s="263">
        <f t="shared" si="4"/>
        <v>-1056292</v>
      </c>
      <c r="F49" s="264">
        <f t="shared" si="5"/>
        <v>-3.6687562144956665E-2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6652858</v>
      </c>
      <c r="D50" s="263">
        <f>+D41+D43</f>
        <v>7448912</v>
      </c>
      <c r="E50" s="263">
        <f t="shared" si="4"/>
        <v>796054</v>
      </c>
      <c r="F50" s="264">
        <f t="shared" si="5"/>
        <v>0.11965594335547219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341627</v>
      </c>
      <c r="D66" s="258">
        <v>408815</v>
      </c>
      <c r="E66" s="258">
        <f t="shared" ref="E66:E76" si="8">D66-C66</f>
        <v>67188</v>
      </c>
      <c r="F66" s="259">
        <f t="shared" ref="F66:F76" si="9">IF(C66=0,0,E66/C66)</f>
        <v>0.19667063785941977</v>
      </c>
    </row>
    <row r="67" spans="1:6" ht="20.25" customHeight="1" x14ac:dyDescent="0.3">
      <c r="A67" s="256">
        <v>2</v>
      </c>
      <c r="B67" s="257" t="s">
        <v>442</v>
      </c>
      <c r="C67" s="258">
        <v>122781</v>
      </c>
      <c r="D67" s="258">
        <v>100209</v>
      </c>
      <c r="E67" s="258">
        <f t="shared" si="8"/>
        <v>-22572</v>
      </c>
      <c r="F67" s="259">
        <f t="shared" si="9"/>
        <v>-0.18383951914384147</v>
      </c>
    </row>
    <row r="68" spans="1:6" ht="20.25" customHeight="1" x14ac:dyDescent="0.3">
      <c r="A68" s="256">
        <v>3</v>
      </c>
      <c r="B68" s="257" t="s">
        <v>443</v>
      </c>
      <c r="C68" s="258">
        <v>222187</v>
      </c>
      <c r="D68" s="258">
        <v>217282</v>
      </c>
      <c r="E68" s="258">
        <f t="shared" si="8"/>
        <v>-4905</v>
      </c>
      <c r="F68" s="259">
        <f t="shared" si="9"/>
        <v>-2.2075999045848768E-2</v>
      </c>
    </row>
    <row r="69" spans="1:6" ht="20.25" customHeight="1" x14ac:dyDescent="0.3">
      <c r="A69" s="256">
        <v>4</v>
      </c>
      <c r="B69" s="257" t="s">
        <v>444</v>
      </c>
      <c r="C69" s="258">
        <v>28812</v>
      </c>
      <c r="D69" s="258">
        <v>28142</v>
      </c>
      <c r="E69" s="258">
        <f t="shared" si="8"/>
        <v>-670</v>
      </c>
      <c r="F69" s="259">
        <f t="shared" si="9"/>
        <v>-2.325419963903929E-2</v>
      </c>
    </row>
    <row r="70" spans="1:6" ht="20.25" customHeight="1" x14ac:dyDescent="0.3">
      <c r="A70" s="256">
        <v>5</v>
      </c>
      <c r="B70" s="257" t="s">
        <v>381</v>
      </c>
      <c r="C70" s="260">
        <v>8</v>
      </c>
      <c r="D70" s="260">
        <v>10</v>
      </c>
      <c r="E70" s="260">
        <f t="shared" si="8"/>
        <v>2</v>
      </c>
      <c r="F70" s="259">
        <f t="shared" si="9"/>
        <v>0.25</v>
      </c>
    </row>
    <row r="71" spans="1:6" ht="20.25" customHeight="1" x14ac:dyDescent="0.3">
      <c r="A71" s="256">
        <v>6</v>
      </c>
      <c r="B71" s="257" t="s">
        <v>380</v>
      </c>
      <c r="C71" s="260">
        <v>66</v>
      </c>
      <c r="D71" s="260">
        <v>39</v>
      </c>
      <c r="E71" s="260">
        <f t="shared" si="8"/>
        <v>-27</v>
      </c>
      <c r="F71" s="259">
        <f t="shared" si="9"/>
        <v>-0.40909090909090912</v>
      </c>
    </row>
    <row r="72" spans="1:6" ht="20.25" customHeight="1" x14ac:dyDescent="0.3">
      <c r="A72" s="256">
        <v>7</v>
      </c>
      <c r="B72" s="257" t="s">
        <v>445</v>
      </c>
      <c r="C72" s="260">
        <v>47</v>
      </c>
      <c r="D72" s="260">
        <v>54</v>
      </c>
      <c r="E72" s="260">
        <f t="shared" si="8"/>
        <v>7</v>
      </c>
      <c r="F72" s="259">
        <f t="shared" si="9"/>
        <v>0.14893617021276595</v>
      </c>
    </row>
    <row r="73" spans="1:6" ht="20.25" customHeight="1" x14ac:dyDescent="0.3">
      <c r="A73" s="256">
        <v>8</v>
      </c>
      <c r="B73" s="257" t="s">
        <v>446</v>
      </c>
      <c r="C73" s="260">
        <v>42</v>
      </c>
      <c r="D73" s="260">
        <v>36</v>
      </c>
      <c r="E73" s="260">
        <f t="shared" si="8"/>
        <v>-6</v>
      </c>
      <c r="F73" s="259">
        <f t="shared" si="9"/>
        <v>-0.14285714285714285</v>
      </c>
    </row>
    <row r="74" spans="1:6" ht="20.25" customHeight="1" x14ac:dyDescent="0.3">
      <c r="A74" s="256">
        <v>9</v>
      </c>
      <c r="B74" s="257" t="s">
        <v>447</v>
      </c>
      <c r="C74" s="260">
        <v>7</v>
      </c>
      <c r="D74" s="260">
        <v>14</v>
      </c>
      <c r="E74" s="260">
        <f t="shared" si="8"/>
        <v>7</v>
      </c>
      <c r="F74" s="259">
        <f t="shared" si="9"/>
        <v>1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563814</v>
      </c>
      <c r="D75" s="263">
        <f>+D66+D68</f>
        <v>626097</v>
      </c>
      <c r="E75" s="263">
        <f t="shared" si="8"/>
        <v>62283</v>
      </c>
      <c r="F75" s="264">
        <f t="shared" si="9"/>
        <v>0.11046728176313465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151593</v>
      </c>
      <c r="D76" s="263">
        <f>+D67+D69</f>
        <v>128351</v>
      </c>
      <c r="E76" s="263">
        <f t="shared" si="8"/>
        <v>-23242</v>
      </c>
      <c r="F76" s="264">
        <f t="shared" si="9"/>
        <v>-0.15331842499323847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8531593</v>
      </c>
      <c r="D92" s="258">
        <v>8773187</v>
      </c>
      <c r="E92" s="258">
        <f t="shared" ref="E92:E102" si="12">D92-C92</f>
        <v>241594</v>
      </c>
      <c r="F92" s="259">
        <f t="shared" ref="F92:F102" si="13">IF(C92=0,0,E92/C92)</f>
        <v>2.8317572111093439E-2</v>
      </c>
    </row>
    <row r="93" spans="1:6" ht="20.25" customHeight="1" x14ac:dyDescent="0.3">
      <c r="A93" s="256">
        <v>2</v>
      </c>
      <c r="B93" s="257" t="s">
        <v>442</v>
      </c>
      <c r="C93" s="258">
        <v>2087981</v>
      </c>
      <c r="D93" s="258">
        <v>1951827</v>
      </c>
      <c r="E93" s="258">
        <f t="shared" si="12"/>
        <v>-136154</v>
      </c>
      <c r="F93" s="259">
        <f t="shared" si="13"/>
        <v>-6.520844777802097E-2</v>
      </c>
    </row>
    <row r="94" spans="1:6" ht="20.25" customHeight="1" x14ac:dyDescent="0.3">
      <c r="A94" s="256">
        <v>3</v>
      </c>
      <c r="B94" s="257" t="s">
        <v>443</v>
      </c>
      <c r="C94" s="258">
        <v>9863230</v>
      </c>
      <c r="D94" s="258">
        <v>12844547</v>
      </c>
      <c r="E94" s="258">
        <f t="shared" si="12"/>
        <v>2981317</v>
      </c>
      <c r="F94" s="259">
        <f t="shared" si="13"/>
        <v>0.30226578919887298</v>
      </c>
    </row>
    <row r="95" spans="1:6" ht="20.25" customHeight="1" x14ac:dyDescent="0.3">
      <c r="A95" s="256">
        <v>4</v>
      </c>
      <c r="B95" s="257" t="s">
        <v>444</v>
      </c>
      <c r="C95" s="258">
        <v>1742836</v>
      </c>
      <c r="D95" s="258">
        <v>2559015</v>
      </c>
      <c r="E95" s="258">
        <f t="shared" si="12"/>
        <v>816179</v>
      </c>
      <c r="F95" s="259">
        <f t="shared" si="13"/>
        <v>0.46830510730785913</v>
      </c>
    </row>
    <row r="96" spans="1:6" ht="20.25" customHeight="1" x14ac:dyDescent="0.3">
      <c r="A96" s="256">
        <v>5</v>
      </c>
      <c r="B96" s="257" t="s">
        <v>381</v>
      </c>
      <c r="C96" s="260">
        <v>223</v>
      </c>
      <c r="D96" s="260">
        <v>260</v>
      </c>
      <c r="E96" s="260">
        <f t="shared" si="12"/>
        <v>37</v>
      </c>
      <c r="F96" s="259">
        <f t="shared" si="13"/>
        <v>0.16591928251121077</v>
      </c>
    </row>
    <row r="97" spans="1:6" ht="20.25" customHeight="1" x14ac:dyDescent="0.3">
      <c r="A97" s="256">
        <v>6</v>
      </c>
      <c r="B97" s="257" t="s">
        <v>380</v>
      </c>
      <c r="C97" s="260">
        <v>1344</v>
      </c>
      <c r="D97" s="260">
        <v>1577</v>
      </c>
      <c r="E97" s="260">
        <f t="shared" si="12"/>
        <v>233</v>
      </c>
      <c r="F97" s="259">
        <f t="shared" si="13"/>
        <v>0.17336309523809523</v>
      </c>
    </row>
    <row r="98" spans="1:6" ht="20.25" customHeight="1" x14ac:dyDescent="0.3">
      <c r="A98" s="256">
        <v>7</v>
      </c>
      <c r="B98" s="257" t="s">
        <v>445</v>
      </c>
      <c r="C98" s="260">
        <v>6078</v>
      </c>
      <c r="D98" s="260">
        <v>7435</v>
      </c>
      <c r="E98" s="260">
        <f t="shared" si="12"/>
        <v>1357</v>
      </c>
      <c r="F98" s="259">
        <f t="shared" si="13"/>
        <v>0.22326423165514972</v>
      </c>
    </row>
    <row r="99" spans="1:6" ht="20.25" customHeight="1" x14ac:dyDescent="0.3">
      <c r="A99" s="256">
        <v>8</v>
      </c>
      <c r="B99" s="257" t="s">
        <v>446</v>
      </c>
      <c r="C99" s="260">
        <v>575</v>
      </c>
      <c r="D99" s="260">
        <v>582</v>
      </c>
      <c r="E99" s="260">
        <f t="shared" si="12"/>
        <v>7</v>
      </c>
      <c r="F99" s="259">
        <f t="shared" si="13"/>
        <v>1.2173913043478261E-2</v>
      </c>
    </row>
    <row r="100" spans="1:6" ht="20.25" customHeight="1" x14ac:dyDescent="0.3">
      <c r="A100" s="256">
        <v>9</v>
      </c>
      <c r="B100" s="257" t="s">
        <v>447</v>
      </c>
      <c r="C100" s="260">
        <v>180</v>
      </c>
      <c r="D100" s="260">
        <v>313</v>
      </c>
      <c r="E100" s="260">
        <f t="shared" si="12"/>
        <v>133</v>
      </c>
      <c r="F100" s="259">
        <f t="shared" si="13"/>
        <v>0.73888888888888893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18394823</v>
      </c>
      <c r="D101" s="263">
        <f>+D92+D94</f>
        <v>21617734</v>
      </c>
      <c r="E101" s="263">
        <f t="shared" si="12"/>
        <v>3222911</v>
      </c>
      <c r="F101" s="264">
        <f t="shared" si="13"/>
        <v>0.17520750267616056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3830817</v>
      </c>
      <c r="D102" s="263">
        <f>+D93+D95</f>
        <v>4510842</v>
      </c>
      <c r="E102" s="263">
        <f t="shared" si="12"/>
        <v>680025</v>
      </c>
      <c r="F102" s="264">
        <f t="shared" si="13"/>
        <v>0.17751435268246957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2622958</v>
      </c>
      <c r="D105" s="258">
        <v>3768118</v>
      </c>
      <c r="E105" s="258">
        <f t="shared" ref="E105:E115" si="14">D105-C105</f>
        <v>1145160</v>
      </c>
      <c r="F105" s="259">
        <f t="shared" ref="F105:F115" si="15">IF(C105=0,0,E105/C105)</f>
        <v>0.4365910548319874</v>
      </c>
    </row>
    <row r="106" spans="1:6" ht="20.25" customHeight="1" x14ac:dyDescent="0.3">
      <c r="A106" s="256">
        <v>2</v>
      </c>
      <c r="B106" s="257" t="s">
        <v>442</v>
      </c>
      <c r="C106" s="258">
        <v>735613</v>
      </c>
      <c r="D106" s="258">
        <v>1115297</v>
      </c>
      <c r="E106" s="258">
        <f t="shared" si="14"/>
        <v>379684</v>
      </c>
      <c r="F106" s="259">
        <f t="shared" si="15"/>
        <v>0.5161463976302757</v>
      </c>
    </row>
    <row r="107" spans="1:6" ht="20.25" customHeight="1" x14ac:dyDescent="0.3">
      <c r="A107" s="256">
        <v>3</v>
      </c>
      <c r="B107" s="257" t="s">
        <v>443</v>
      </c>
      <c r="C107" s="258">
        <v>4345750</v>
      </c>
      <c r="D107" s="258">
        <v>3524233</v>
      </c>
      <c r="E107" s="258">
        <f t="shared" si="14"/>
        <v>-821517</v>
      </c>
      <c r="F107" s="259">
        <f t="shared" si="15"/>
        <v>-0.18903917620663868</v>
      </c>
    </row>
    <row r="108" spans="1:6" ht="20.25" customHeight="1" x14ac:dyDescent="0.3">
      <c r="A108" s="256">
        <v>4</v>
      </c>
      <c r="B108" s="257" t="s">
        <v>444</v>
      </c>
      <c r="C108" s="258">
        <v>795987</v>
      </c>
      <c r="D108" s="258">
        <v>724763</v>
      </c>
      <c r="E108" s="258">
        <f t="shared" si="14"/>
        <v>-71224</v>
      </c>
      <c r="F108" s="259">
        <f t="shared" si="15"/>
        <v>-8.9478848272647668E-2</v>
      </c>
    </row>
    <row r="109" spans="1:6" ht="20.25" customHeight="1" x14ac:dyDescent="0.3">
      <c r="A109" s="256">
        <v>5</v>
      </c>
      <c r="B109" s="257" t="s">
        <v>381</v>
      </c>
      <c r="C109" s="260">
        <v>94</v>
      </c>
      <c r="D109" s="260">
        <v>91</v>
      </c>
      <c r="E109" s="260">
        <f t="shared" si="14"/>
        <v>-3</v>
      </c>
      <c r="F109" s="259">
        <f t="shared" si="15"/>
        <v>-3.1914893617021274E-2</v>
      </c>
    </row>
    <row r="110" spans="1:6" ht="20.25" customHeight="1" x14ac:dyDescent="0.3">
      <c r="A110" s="256">
        <v>6</v>
      </c>
      <c r="B110" s="257" t="s">
        <v>380</v>
      </c>
      <c r="C110" s="260">
        <v>451</v>
      </c>
      <c r="D110" s="260">
        <v>612</v>
      </c>
      <c r="E110" s="260">
        <f t="shared" si="14"/>
        <v>161</v>
      </c>
      <c r="F110" s="259">
        <f t="shared" si="15"/>
        <v>0.35698447893569846</v>
      </c>
    </row>
    <row r="111" spans="1:6" ht="20.25" customHeight="1" x14ac:dyDescent="0.3">
      <c r="A111" s="256">
        <v>7</v>
      </c>
      <c r="B111" s="257" t="s">
        <v>445</v>
      </c>
      <c r="C111" s="260">
        <v>2371</v>
      </c>
      <c r="D111" s="260">
        <v>1630</v>
      </c>
      <c r="E111" s="260">
        <f t="shared" si="14"/>
        <v>-741</v>
      </c>
      <c r="F111" s="259">
        <f t="shared" si="15"/>
        <v>-0.31252636018557572</v>
      </c>
    </row>
    <row r="112" spans="1:6" ht="20.25" customHeight="1" x14ac:dyDescent="0.3">
      <c r="A112" s="256">
        <v>8</v>
      </c>
      <c r="B112" s="257" t="s">
        <v>446</v>
      </c>
      <c r="C112" s="260">
        <v>303</v>
      </c>
      <c r="D112" s="260">
        <v>251</v>
      </c>
      <c r="E112" s="260">
        <f t="shared" si="14"/>
        <v>-52</v>
      </c>
      <c r="F112" s="259">
        <f t="shared" si="15"/>
        <v>-0.17161716171617161</v>
      </c>
    </row>
    <row r="113" spans="1:6" ht="20.25" customHeight="1" x14ac:dyDescent="0.3">
      <c r="A113" s="256">
        <v>9</v>
      </c>
      <c r="B113" s="257" t="s">
        <v>447</v>
      </c>
      <c r="C113" s="260">
        <v>81</v>
      </c>
      <c r="D113" s="260">
        <v>104</v>
      </c>
      <c r="E113" s="260">
        <f t="shared" si="14"/>
        <v>23</v>
      </c>
      <c r="F113" s="259">
        <f t="shared" si="15"/>
        <v>0.2839506172839506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6968708</v>
      </c>
      <c r="D114" s="263">
        <f>+D105+D107</f>
        <v>7292351</v>
      </c>
      <c r="E114" s="263">
        <f t="shared" si="14"/>
        <v>323643</v>
      </c>
      <c r="F114" s="264">
        <f t="shared" si="15"/>
        <v>4.6442324746567079E-2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1531600</v>
      </c>
      <c r="D115" s="263">
        <f>+D106+D108</f>
        <v>1840060</v>
      </c>
      <c r="E115" s="263">
        <f t="shared" si="14"/>
        <v>308460</v>
      </c>
      <c r="F115" s="264">
        <f t="shared" si="15"/>
        <v>0.20139723165317316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3915112</v>
      </c>
      <c r="D118" s="258">
        <v>4732464</v>
      </c>
      <c r="E118" s="258">
        <f t="shared" ref="E118:E128" si="16">D118-C118</f>
        <v>817352</v>
      </c>
      <c r="F118" s="259">
        <f t="shared" ref="F118:F128" si="17">IF(C118=0,0,E118/C118)</f>
        <v>0.20876848478408791</v>
      </c>
    </row>
    <row r="119" spans="1:6" ht="20.25" customHeight="1" x14ac:dyDescent="0.3">
      <c r="A119" s="256">
        <v>2</v>
      </c>
      <c r="B119" s="257" t="s">
        <v>442</v>
      </c>
      <c r="C119" s="258">
        <v>1002685</v>
      </c>
      <c r="D119" s="258">
        <v>1211499</v>
      </c>
      <c r="E119" s="258">
        <f t="shared" si="16"/>
        <v>208814</v>
      </c>
      <c r="F119" s="259">
        <f t="shared" si="17"/>
        <v>0.20825483576596837</v>
      </c>
    </row>
    <row r="120" spans="1:6" ht="20.25" customHeight="1" x14ac:dyDescent="0.3">
      <c r="A120" s="256">
        <v>3</v>
      </c>
      <c r="B120" s="257" t="s">
        <v>443</v>
      </c>
      <c r="C120" s="258">
        <v>6834471</v>
      </c>
      <c r="D120" s="258">
        <v>8435542</v>
      </c>
      <c r="E120" s="258">
        <f t="shared" si="16"/>
        <v>1601071</v>
      </c>
      <c r="F120" s="259">
        <f t="shared" si="17"/>
        <v>0.23426407105977917</v>
      </c>
    </row>
    <row r="121" spans="1:6" ht="20.25" customHeight="1" x14ac:dyDescent="0.3">
      <c r="A121" s="256">
        <v>4</v>
      </c>
      <c r="B121" s="257" t="s">
        <v>444</v>
      </c>
      <c r="C121" s="258">
        <v>1316971</v>
      </c>
      <c r="D121" s="258">
        <v>1709257</v>
      </c>
      <c r="E121" s="258">
        <f t="shared" si="16"/>
        <v>392286</v>
      </c>
      <c r="F121" s="259">
        <f t="shared" si="17"/>
        <v>0.29786988475828247</v>
      </c>
    </row>
    <row r="122" spans="1:6" ht="20.25" customHeight="1" x14ac:dyDescent="0.3">
      <c r="A122" s="256">
        <v>5</v>
      </c>
      <c r="B122" s="257" t="s">
        <v>381</v>
      </c>
      <c r="C122" s="260">
        <v>117</v>
      </c>
      <c r="D122" s="260">
        <v>136</v>
      </c>
      <c r="E122" s="260">
        <f t="shared" si="16"/>
        <v>19</v>
      </c>
      <c r="F122" s="259">
        <f t="shared" si="17"/>
        <v>0.1623931623931624</v>
      </c>
    </row>
    <row r="123" spans="1:6" ht="20.25" customHeight="1" x14ac:dyDescent="0.3">
      <c r="A123" s="256">
        <v>6</v>
      </c>
      <c r="B123" s="257" t="s">
        <v>380</v>
      </c>
      <c r="C123" s="260">
        <v>605</v>
      </c>
      <c r="D123" s="260">
        <v>646</v>
      </c>
      <c r="E123" s="260">
        <f t="shared" si="16"/>
        <v>41</v>
      </c>
      <c r="F123" s="259">
        <f t="shared" si="17"/>
        <v>6.7768595041322308E-2</v>
      </c>
    </row>
    <row r="124" spans="1:6" ht="20.25" customHeight="1" x14ac:dyDescent="0.3">
      <c r="A124" s="256">
        <v>7</v>
      </c>
      <c r="B124" s="257" t="s">
        <v>445</v>
      </c>
      <c r="C124" s="260">
        <v>4266</v>
      </c>
      <c r="D124" s="260">
        <v>4744</v>
      </c>
      <c r="E124" s="260">
        <f t="shared" si="16"/>
        <v>478</v>
      </c>
      <c r="F124" s="259">
        <f t="shared" si="17"/>
        <v>0.11204875761837788</v>
      </c>
    </row>
    <row r="125" spans="1:6" ht="20.25" customHeight="1" x14ac:dyDescent="0.3">
      <c r="A125" s="256">
        <v>8</v>
      </c>
      <c r="B125" s="257" t="s">
        <v>446</v>
      </c>
      <c r="C125" s="260">
        <v>312</v>
      </c>
      <c r="D125" s="260">
        <v>339</v>
      </c>
      <c r="E125" s="260">
        <f t="shared" si="16"/>
        <v>27</v>
      </c>
      <c r="F125" s="259">
        <f t="shared" si="17"/>
        <v>8.6538461538461536E-2</v>
      </c>
    </row>
    <row r="126" spans="1:6" ht="20.25" customHeight="1" x14ac:dyDescent="0.3">
      <c r="A126" s="256">
        <v>9</v>
      </c>
      <c r="B126" s="257" t="s">
        <v>447</v>
      </c>
      <c r="C126" s="260">
        <v>101</v>
      </c>
      <c r="D126" s="260">
        <v>181</v>
      </c>
      <c r="E126" s="260">
        <f t="shared" si="16"/>
        <v>80</v>
      </c>
      <c r="F126" s="259">
        <f t="shared" si="17"/>
        <v>0.79207920792079212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10749583</v>
      </c>
      <c r="D127" s="263">
        <f>+D118+D120</f>
        <v>13168006</v>
      </c>
      <c r="E127" s="263">
        <f t="shared" si="16"/>
        <v>2418423</v>
      </c>
      <c r="F127" s="264">
        <f t="shared" si="17"/>
        <v>0.22497830846089564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2319656</v>
      </c>
      <c r="D128" s="263">
        <f>+D119+D121</f>
        <v>2920756</v>
      </c>
      <c r="E128" s="263">
        <f t="shared" si="16"/>
        <v>601100</v>
      </c>
      <c r="F128" s="264">
        <f t="shared" si="17"/>
        <v>0.25913325079235888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164261</v>
      </c>
      <c r="D131" s="258">
        <v>0</v>
      </c>
      <c r="E131" s="258">
        <f t="shared" ref="E131:E141" si="18">D131-C131</f>
        <v>-164261</v>
      </c>
      <c r="F131" s="259">
        <f t="shared" ref="F131:F141" si="19">IF(C131=0,0,E131/C131)</f>
        <v>-1</v>
      </c>
    </row>
    <row r="132" spans="1:6" ht="20.25" customHeight="1" x14ac:dyDescent="0.3">
      <c r="A132" s="256">
        <v>2</v>
      </c>
      <c r="B132" s="257" t="s">
        <v>442</v>
      </c>
      <c r="C132" s="258">
        <v>37757</v>
      </c>
      <c r="D132" s="258">
        <v>0</v>
      </c>
      <c r="E132" s="258">
        <f t="shared" si="18"/>
        <v>-37757</v>
      </c>
      <c r="F132" s="259">
        <f t="shared" si="19"/>
        <v>-1</v>
      </c>
    </row>
    <row r="133" spans="1:6" ht="20.25" customHeight="1" x14ac:dyDescent="0.3">
      <c r="A133" s="256">
        <v>3</v>
      </c>
      <c r="B133" s="257" t="s">
        <v>443</v>
      </c>
      <c r="C133" s="258">
        <v>189513</v>
      </c>
      <c r="D133" s="258">
        <v>107446</v>
      </c>
      <c r="E133" s="258">
        <f t="shared" si="18"/>
        <v>-82067</v>
      </c>
      <c r="F133" s="259">
        <f t="shared" si="19"/>
        <v>-0.43304153277083896</v>
      </c>
    </row>
    <row r="134" spans="1:6" ht="20.25" customHeight="1" x14ac:dyDescent="0.3">
      <c r="A134" s="256">
        <v>4</v>
      </c>
      <c r="B134" s="257" t="s">
        <v>444</v>
      </c>
      <c r="C134" s="258">
        <v>40060</v>
      </c>
      <c r="D134" s="258">
        <v>77232</v>
      </c>
      <c r="E134" s="258">
        <f t="shared" si="18"/>
        <v>37172</v>
      </c>
      <c r="F134" s="259">
        <f t="shared" si="19"/>
        <v>0.92790813779331005</v>
      </c>
    </row>
    <row r="135" spans="1:6" ht="20.25" customHeight="1" x14ac:dyDescent="0.3">
      <c r="A135" s="256">
        <v>5</v>
      </c>
      <c r="B135" s="257" t="s">
        <v>381</v>
      </c>
      <c r="C135" s="260">
        <v>3</v>
      </c>
      <c r="D135" s="260">
        <v>0</v>
      </c>
      <c r="E135" s="260">
        <f t="shared" si="18"/>
        <v>-3</v>
      </c>
      <c r="F135" s="259">
        <f t="shared" si="19"/>
        <v>-1</v>
      </c>
    </row>
    <row r="136" spans="1:6" ht="20.25" customHeight="1" x14ac:dyDescent="0.3">
      <c r="A136" s="256">
        <v>6</v>
      </c>
      <c r="B136" s="257" t="s">
        <v>380</v>
      </c>
      <c r="C136" s="260">
        <v>28</v>
      </c>
      <c r="D136" s="260">
        <v>0</v>
      </c>
      <c r="E136" s="260">
        <f t="shared" si="18"/>
        <v>-28</v>
      </c>
      <c r="F136" s="259">
        <f t="shared" si="19"/>
        <v>-1</v>
      </c>
    </row>
    <row r="137" spans="1:6" ht="20.25" customHeight="1" x14ac:dyDescent="0.3">
      <c r="A137" s="256">
        <v>7</v>
      </c>
      <c r="B137" s="257" t="s">
        <v>445</v>
      </c>
      <c r="C137" s="260">
        <v>78</v>
      </c>
      <c r="D137" s="260">
        <v>88</v>
      </c>
      <c r="E137" s="260">
        <f t="shared" si="18"/>
        <v>10</v>
      </c>
      <c r="F137" s="259">
        <f t="shared" si="19"/>
        <v>0.12820512820512819</v>
      </c>
    </row>
    <row r="138" spans="1:6" ht="20.25" customHeight="1" x14ac:dyDescent="0.3">
      <c r="A138" s="256">
        <v>8</v>
      </c>
      <c r="B138" s="257" t="s">
        <v>446</v>
      </c>
      <c r="C138" s="260">
        <v>17</v>
      </c>
      <c r="D138" s="260">
        <v>10</v>
      </c>
      <c r="E138" s="260">
        <f t="shared" si="18"/>
        <v>-7</v>
      </c>
      <c r="F138" s="259">
        <f t="shared" si="19"/>
        <v>-0.41176470588235292</v>
      </c>
    </row>
    <row r="139" spans="1:6" ht="20.25" customHeight="1" x14ac:dyDescent="0.3">
      <c r="A139" s="256">
        <v>9</v>
      </c>
      <c r="B139" s="257" t="s">
        <v>447</v>
      </c>
      <c r="C139" s="260">
        <v>3</v>
      </c>
      <c r="D139" s="260">
        <v>0</v>
      </c>
      <c r="E139" s="260">
        <f t="shared" si="18"/>
        <v>-3</v>
      </c>
      <c r="F139" s="259">
        <f t="shared" si="19"/>
        <v>-1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353774</v>
      </c>
      <c r="D140" s="263">
        <f>+D131+D133</f>
        <v>107446</v>
      </c>
      <c r="E140" s="263">
        <f t="shared" si="18"/>
        <v>-246328</v>
      </c>
      <c r="F140" s="264">
        <f t="shared" si="19"/>
        <v>-0.69628632969070647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77817</v>
      </c>
      <c r="D141" s="263">
        <f>+D132+D134</f>
        <v>77232</v>
      </c>
      <c r="E141" s="263">
        <f t="shared" si="18"/>
        <v>-585</v>
      </c>
      <c r="F141" s="264">
        <f t="shared" si="19"/>
        <v>-7.5176375342148891E-3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27193044</v>
      </c>
      <c r="D198" s="263">
        <f t="shared" si="28"/>
        <v>29286264</v>
      </c>
      <c r="E198" s="263">
        <f t="shared" ref="E198:E208" si="29">D198-C198</f>
        <v>2093220</v>
      </c>
      <c r="F198" s="273">
        <f t="shared" ref="F198:F208" si="30">IF(C198=0,0,E198/C198)</f>
        <v>7.6976303204598945E-2</v>
      </c>
    </row>
    <row r="199" spans="1:9" ht="20.25" customHeight="1" x14ac:dyDescent="0.3">
      <c r="A199" s="271"/>
      <c r="B199" s="272" t="s">
        <v>466</v>
      </c>
      <c r="C199" s="263">
        <f t="shared" si="28"/>
        <v>7255653</v>
      </c>
      <c r="D199" s="263">
        <f t="shared" si="28"/>
        <v>7999832</v>
      </c>
      <c r="E199" s="263">
        <f t="shared" si="29"/>
        <v>744179</v>
      </c>
      <c r="F199" s="273">
        <f t="shared" si="30"/>
        <v>0.10256540658711215</v>
      </c>
    </row>
    <row r="200" spans="1:9" ht="20.25" customHeight="1" x14ac:dyDescent="0.3">
      <c r="A200" s="271"/>
      <c r="B200" s="272" t="s">
        <v>467</v>
      </c>
      <c r="C200" s="263">
        <f t="shared" si="28"/>
        <v>41061130</v>
      </c>
      <c r="D200" s="263">
        <f t="shared" si="28"/>
        <v>47307863</v>
      </c>
      <c r="E200" s="263">
        <f t="shared" si="29"/>
        <v>6246733</v>
      </c>
      <c r="F200" s="273">
        <f t="shared" si="30"/>
        <v>0.15213251559321431</v>
      </c>
    </row>
    <row r="201" spans="1:9" ht="20.25" customHeight="1" x14ac:dyDescent="0.3">
      <c r="A201" s="271"/>
      <c r="B201" s="272" t="s">
        <v>468</v>
      </c>
      <c r="C201" s="263">
        <f t="shared" si="28"/>
        <v>7798078</v>
      </c>
      <c r="D201" s="263">
        <f t="shared" si="28"/>
        <v>10354621</v>
      </c>
      <c r="E201" s="263">
        <f t="shared" si="29"/>
        <v>2556543</v>
      </c>
      <c r="F201" s="273">
        <f t="shared" si="30"/>
        <v>0.3278427068823882</v>
      </c>
    </row>
    <row r="202" spans="1:9" ht="20.25" customHeight="1" x14ac:dyDescent="0.3">
      <c r="A202" s="271"/>
      <c r="B202" s="272" t="s">
        <v>138</v>
      </c>
      <c r="C202" s="274">
        <f t="shared" si="28"/>
        <v>777</v>
      </c>
      <c r="D202" s="274">
        <f t="shared" si="28"/>
        <v>929</v>
      </c>
      <c r="E202" s="274">
        <f t="shared" si="29"/>
        <v>152</v>
      </c>
      <c r="F202" s="273">
        <f t="shared" si="30"/>
        <v>0.19562419562419561</v>
      </c>
    </row>
    <row r="203" spans="1:9" ht="20.25" customHeight="1" x14ac:dyDescent="0.3">
      <c r="A203" s="271"/>
      <c r="B203" s="272" t="s">
        <v>140</v>
      </c>
      <c r="C203" s="274">
        <f t="shared" si="28"/>
        <v>4130</v>
      </c>
      <c r="D203" s="274">
        <f t="shared" si="28"/>
        <v>5205</v>
      </c>
      <c r="E203" s="274">
        <f t="shared" si="29"/>
        <v>1075</v>
      </c>
      <c r="F203" s="273">
        <f t="shared" si="30"/>
        <v>0.26029055690072639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26881</v>
      </c>
      <c r="D204" s="274">
        <f t="shared" si="28"/>
        <v>28122</v>
      </c>
      <c r="E204" s="274">
        <f t="shared" si="29"/>
        <v>1241</v>
      </c>
      <c r="F204" s="273">
        <f t="shared" si="30"/>
        <v>4.6166437260518584E-2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1991</v>
      </c>
      <c r="D205" s="274">
        <f t="shared" si="28"/>
        <v>2197</v>
      </c>
      <c r="E205" s="274">
        <f t="shared" si="29"/>
        <v>206</v>
      </c>
      <c r="F205" s="273">
        <f t="shared" si="30"/>
        <v>0.10346559517830237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641</v>
      </c>
      <c r="D206" s="274">
        <f t="shared" si="28"/>
        <v>1141</v>
      </c>
      <c r="E206" s="274">
        <f t="shared" si="29"/>
        <v>500</v>
      </c>
      <c r="F206" s="273">
        <f t="shared" si="30"/>
        <v>0.78003120124804992</v>
      </c>
    </row>
    <row r="207" spans="1:9" ht="20.25" customHeight="1" x14ac:dyDescent="0.3">
      <c r="A207" s="271"/>
      <c r="B207" s="262" t="s">
        <v>471</v>
      </c>
      <c r="C207" s="263">
        <f>+C198+C200</f>
        <v>68254174</v>
      </c>
      <c r="D207" s="263">
        <f>+D198+D200</f>
        <v>76594127</v>
      </c>
      <c r="E207" s="263">
        <f t="shared" si="29"/>
        <v>8339953</v>
      </c>
      <c r="F207" s="273">
        <f t="shared" si="30"/>
        <v>0.12218964073904111</v>
      </c>
    </row>
    <row r="208" spans="1:9" ht="20.25" customHeight="1" x14ac:dyDescent="0.3">
      <c r="A208" s="271"/>
      <c r="B208" s="262" t="s">
        <v>472</v>
      </c>
      <c r="C208" s="263">
        <f>+C199+C201</f>
        <v>15053731</v>
      </c>
      <c r="D208" s="263">
        <f>+D199+D201</f>
        <v>18354453</v>
      </c>
      <c r="E208" s="263">
        <f t="shared" si="29"/>
        <v>3300722</v>
      </c>
      <c r="F208" s="273">
        <f t="shared" si="30"/>
        <v>0.219262719654018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37" sqref="B37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activeCell="B37" sqref="B37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16286829</v>
      </c>
      <c r="D13" s="22">
        <v>5362866</v>
      </c>
      <c r="E13" s="22">
        <f t="shared" ref="E13:E22" si="0">D13-C13</f>
        <v>-10923963</v>
      </c>
      <c r="F13" s="306">
        <f t="shared" ref="F13:F22" si="1">IF(C13=0,0,E13/C13)</f>
        <v>-0.67072374861920636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41607499</v>
      </c>
      <c r="D15" s="22">
        <v>31004506</v>
      </c>
      <c r="E15" s="22">
        <f t="shared" si="0"/>
        <v>-10602993</v>
      </c>
      <c r="F15" s="306">
        <f t="shared" si="1"/>
        <v>-0.25483370197281024</v>
      </c>
    </row>
    <row r="16" spans="1:8" ht="35.1" customHeight="1" x14ac:dyDescent="0.2">
      <c r="A16" s="304">
        <v>4</v>
      </c>
      <c r="B16" s="305" t="s">
        <v>19</v>
      </c>
      <c r="C16" s="22">
        <v>1097599</v>
      </c>
      <c r="D16" s="22">
        <v>0</v>
      </c>
      <c r="E16" s="22">
        <f t="shared" si="0"/>
        <v>-1097599</v>
      </c>
      <c r="F16" s="306">
        <f t="shared" si="1"/>
        <v>-1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3573134</v>
      </c>
      <c r="D18" s="22">
        <v>2964558</v>
      </c>
      <c r="E18" s="22">
        <f t="shared" si="0"/>
        <v>-608576</v>
      </c>
      <c r="F18" s="306">
        <f t="shared" si="1"/>
        <v>-0.17031994881804041</v>
      </c>
    </row>
    <row r="19" spans="1:11" ht="24" customHeight="1" x14ac:dyDescent="0.2">
      <c r="A19" s="304">
        <v>7</v>
      </c>
      <c r="B19" s="305" t="s">
        <v>22</v>
      </c>
      <c r="C19" s="22">
        <v>5553809</v>
      </c>
      <c r="D19" s="22">
        <v>5584352</v>
      </c>
      <c r="E19" s="22">
        <f t="shared" si="0"/>
        <v>30543</v>
      </c>
      <c r="F19" s="306">
        <f t="shared" si="1"/>
        <v>5.499468923040025E-3</v>
      </c>
    </row>
    <row r="20" spans="1:11" ht="24" customHeight="1" x14ac:dyDescent="0.2">
      <c r="A20" s="304">
        <v>8</v>
      </c>
      <c r="B20" s="305" t="s">
        <v>23</v>
      </c>
      <c r="C20" s="22">
        <v>6653091</v>
      </c>
      <c r="D20" s="22">
        <v>3462351</v>
      </c>
      <c r="E20" s="22">
        <f t="shared" si="0"/>
        <v>-3190740</v>
      </c>
      <c r="F20" s="306">
        <f t="shared" si="1"/>
        <v>-0.47958760822601104</v>
      </c>
    </row>
    <row r="21" spans="1:11" ht="24" customHeight="1" x14ac:dyDescent="0.2">
      <c r="A21" s="304">
        <v>9</v>
      </c>
      <c r="B21" s="305" t="s">
        <v>24</v>
      </c>
      <c r="C21" s="22">
        <v>0</v>
      </c>
      <c r="D21" s="22">
        <v>0</v>
      </c>
      <c r="E21" s="22">
        <f t="shared" si="0"/>
        <v>0</v>
      </c>
      <c r="F21" s="306">
        <f t="shared" si="1"/>
        <v>0</v>
      </c>
    </row>
    <row r="22" spans="1:11" ht="24" customHeight="1" x14ac:dyDescent="0.25">
      <c r="A22" s="307"/>
      <c r="B22" s="308" t="s">
        <v>25</v>
      </c>
      <c r="C22" s="309">
        <f>SUM(C13:C21)</f>
        <v>74771961</v>
      </c>
      <c r="D22" s="309">
        <f>SUM(D13:D21)</f>
        <v>48378633</v>
      </c>
      <c r="E22" s="309">
        <f t="shared" si="0"/>
        <v>-26393328</v>
      </c>
      <c r="F22" s="310">
        <f t="shared" si="1"/>
        <v>-0.35298429581109958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15981754</v>
      </c>
      <c r="D25" s="22">
        <v>11228269</v>
      </c>
      <c r="E25" s="22">
        <f>D25-C25</f>
        <v>-4753485</v>
      </c>
      <c r="F25" s="306">
        <f>IF(C25=0,0,E25/C25)</f>
        <v>-0.29743199651302354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47693344</v>
      </c>
      <c r="D28" s="22">
        <v>9032688</v>
      </c>
      <c r="E28" s="22">
        <f>D28-C28</f>
        <v>-38660656</v>
      </c>
      <c r="F28" s="306">
        <f>IF(C28=0,0,E28/C28)</f>
        <v>-0.81060904431444358</v>
      </c>
    </row>
    <row r="29" spans="1:11" ht="35.1" customHeight="1" x14ac:dyDescent="0.25">
      <c r="A29" s="307"/>
      <c r="B29" s="308" t="s">
        <v>32</v>
      </c>
      <c r="C29" s="309">
        <f>SUM(C25:C28)</f>
        <v>63675098</v>
      </c>
      <c r="D29" s="309">
        <f>SUM(D25:D28)</f>
        <v>20260957</v>
      </c>
      <c r="E29" s="309">
        <f>D29-C29</f>
        <v>-43414141</v>
      </c>
      <c r="F29" s="310">
        <f>IF(C29=0,0,E29/C29)</f>
        <v>-0.68180721135285882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25309242</v>
      </c>
      <c r="D32" s="22">
        <v>17345211</v>
      </c>
      <c r="E32" s="22">
        <f>D32-C32</f>
        <v>-7964031</v>
      </c>
      <c r="F32" s="306">
        <f>IF(C32=0,0,E32/C32)</f>
        <v>-0.31466888656720737</v>
      </c>
    </row>
    <row r="33" spans="1:8" ht="24" customHeight="1" x14ac:dyDescent="0.2">
      <c r="A33" s="304">
        <v>7</v>
      </c>
      <c r="B33" s="305" t="s">
        <v>35</v>
      </c>
      <c r="C33" s="22">
        <v>8567926</v>
      </c>
      <c r="D33" s="22">
        <v>6399218</v>
      </c>
      <c r="E33" s="22">
        <f>D33-C33</f>
        <v>-2168708</v>
      </c>
      <c r="F33" s="306">
        <f>IF(C33=0,0,E33/C33)</f>
        <v>-0.25311936634373361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316413058</v>
      </c>
      <c r="D36" s="22">
        <v>325090116</v>
      </c>
      <c r="E36" s="22">
        <f>D36-C36</f>
        <v>8677058</v>
      </c>
      <c r="F36" s="306">
        <f>IF(C36=0,0,E36/C36)</f>
        <v>2.7423198191776271E-2</v>
      </c>
    </row>
    <row r="37" spans="1:8" ht="24" customHeight="1" x14ac:dyDescent="0.2">
      <c r="A37" s="304">
        <v>2</v>
      </c>
      <c r="B37" s="305" t="s">
        <v>39</v>
      </c>
      <c r="C37" s="22">
        <v>229410757</v>
      </c>
      <c r="D37" s="22">
        <v>241887388</v>
      </c>
      <c r="E37" s="22">
        <f>D37-C37</f>
        <v>12476631</v>
      </c>
      <c r="F37" s="22">
        <f>IF(C37=0,0,E37/C37)</f>
        <v>5.4385553507414648E-2</v>
      </c>
    </row>
    <row r="38" spans="1:8" ht="24" customHeight="1" x14ac:dyDescent="0.25">
      <c r="A38" s="307"/>
      <c r="B38" s="308" t="s">
        <v>40</v>
      </c>
      <c r="C38" s="309">
        <f>C36-C37</f>
        <v>87002301</v>
      </c>
      <c r="D38" s="309">
        <f>D36-D37</f>
        <v>83202728</v>
      </c>
      <c r="E38" s="309">
        <f>D38-C38</f>
        <v>-3799573</v>
      </c>
      <c r="F38" s="310">
        <f>IF(C38=0,0,E38/C38)</f>
        <v>-4.3672097821872549E-2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1273117</v>
      </c>
      <c r="D40" s="22">
        <v>267414</v>
      </c>
      <c r="E40" s="22">
        <f>D40-C40</f>
        <v>-1005703</v>
      </c>
      <c r="F40" s="306">
        <f>IF(C40=0,0,E40/C40)</f>
        <v>-0.78995331929429891</v>
      </c>
    </row>
    <row r="41" spans="1:8" ht="24" customHeight="1" x14ac:dyDescent="0.25">
      <c r="A41" s="307"/>
      <c r="B41" s="308" t="s">
        <v>42</v>
      </c>
      <c r="C41" s="309">
        <f>+C38+C40</f>
        <v>88275418</v>
      </c>
      <c r="D41" s="309">
        <f>+D38+D40</f>
        <v>83470142</v>
      </c>
      <c r="E41" s="309">
        <f>D41-C41</f>
        <v>-4805276</v>
      </c>
      <c r="F41" s="310">
        <f>IF(C41=0,0,E41/C41)</f>
        <v>-5.4435041021272765E-2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260599645</v>
      </c>
      <c r="D43" s="309">
        <f>D22+D29+D31+D32+D33+D41</f>
        <v>175854161</v>
      </c>
      <c r="E43" s="309">
        <f>D43-C43</f>
        <v>-84745484</v>
      </c>
      <c r="F43" s="310">
        <f>IF(C43=0,0,E43/C43)</f>
        <v>-0.32519416517240457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27642500</v>
      </c>
      <c r="D49" s="22">
        <v>24001637</v>
      </c>
      <c r="E49" s="22">
        <f t="shared" ref="E49:E56" si="2">D49-C49</f>
        <v>-3640863</v>
      </c>
      <c r="F49" s="306">
        <f t="shared" ref="F49:F56" si="3">IF(C49=0,0,E49/C49)</f>
        <v>-0.13171250791353895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5787051</v>
      </c>
      <c r="D50" s="22">
        <v>4741513</v>
      </c>
      <c r="E50" s="22">
        <f t="shared" si="2"/>
        <v>-1045538</v>
      </c>
      <c r="F50" s="306">
        <f t="shared" si="3"/>
        <v>-0.18066853048296966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3124803</v>
      </c>
      <c r="D51" s="22">
        <v>7647932</v>
      </c>
      <c r="E51" s="22">
        <f t="shared" si="2"/>
        <v>4523129</v>
      </c>
      <c r="F51" s="306">
        <f t="shared" si="3"/>
        <v>1.4474925299290868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2562000</v>
      </c>
      <c r="D53" s="22">
        <v>0</v>
      </c>
      <c r="E53" s="22">
        <f t="shared" si="2"/>
        <v>-2562000</v>
      </c>
      <c r="F53" s="306">
        <f t="shared" si="3"/>
        <v>-1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8256708</v>
      </c>
      <c r="D54" s="22">
        <v>3555381</v>
      </c>
      <c r="E54" s="22">
        <f t="shared" si="2"/>
        <v>-4701327</v>
      </c>
      <c r="F54" s="306">
        <f t="shared" si="3"/>
        <v>-0.56939484840689536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4324901</v>
      </c>
      <c r="D55" s="22">
        <v>25600675</v>
      </c>
      <c r="E55" s="22">
        <f t="shared" si="2"/>
        <v>21275774</v>
      </c>
      <c r="F55" s="306">
        <f t="shared" si="3"/>
        <v>4.9193667092032856</v>
      </c>
    </row>
    <row r="56" spans="1:6" ht="24" customHeight="1" x14ac:dyDescent="0.25">
      <c r="A56" s="307"/>
      <c r="B56" s="308" t="s">
        <v>54</v>
      </c>
      <c r="C56" s="309">
        <f>SUM(C49:C55)</f>
        <v>51697963</v>
      </c>
      <c r="D56" s="309">
        <f>SUM(D49:D55)</f>
        <v>65547138</v>
      </c>
      <c r="E56" s="309">
        <f t="shared" si="2"/>
        <v>13849175</v>
      </c>
      <c r="F56" s="310">
        <f t="shared" si="3"/>
        <v>0.26788628016156074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66995612</v>
      </c>
      <c r="D59" s="22">
        <v>0</v>
      </c>
      <c r="E59" s="22">
        <f>D59-C59</f>
        <v>-66995612</v>
      </c>
      <c r="F59" s="306">
        <f>IF(C59=0,0,E59/C59)</f>
        <v>-1</v>
      </c>
    </row>
    <row r="60" spans="1:6" ht="24" customHeight="1" x14ac:dyDescent="0.2">
      <c r="A60" s="304">
        <v>2</v>
      </c>
      <c r="B60" s="305" t="s">
        <v>57</v>
      </c>
      <c r="C60" s="22">
        <v>13126634</v>
      </c>
      <c r="D60" s="22">
        <v>11436337</v>
      </c>
      <c r="E60" s="22">
        <f>D60-C60</f>
        <v>-1690297</v>
      </c>
      <c r="F60" s="306">
        <f>IF(C60=0,0,E60/C60)</f>
        <v>-0.12876850226798431</v>
      </c>
    </row>
    <row r="61" spans="1:6" ht="24" customHeight="1" x14ac:dyDescent="0.25">
      <c r="A61" s="307"/>
      <c r="B61" s="308" t="s">
        <v>58</v>
      </c>
      <c r="C61" s="309">
        <f>SUM(C59:C60)</f>
        <v>80122246</v>
      </c>
      <c r="D61" s="309">
        <f>SUM(D59:D60)</f>
        <v>11436337</v>
      </c>
      <c r="E61" s="309">
        <f>D61-C61</f>
        <v>-68685909</v>
      </c>
      <c r="F61" s="310">
        <f>IF(C61=0,0,E61/C61)</f>
        <v>-0.85726389896758515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62407379</v>
      </c>
      <c r="D63" s="22">
        <v>66741076</v>
      </c>
      <c r="E63" s="22">
        <f>D63-C63</f>
        <v>4333697</v>
      </c>
      <c r="F63" s="306">
        <f>IF(C63=0,0,E63/C63)</f>
        <v>6.9442060689650184E-2</v>
      </c>
    </row>
    <row r="64" spans="1:6" ht="24" customHeight="1" x14ac:dyDescent="0.2">
      <c r="A64" s="304">
        <v>4</v>
      </c>
      <c r="B64" s="305" t="s">
        <v>60</v>
      </c>
      <c r="C64" s="22">
        <v>7664508</v>
      </c>
      <c r="D64" s="22">
        <v>15286252</v>
      </c>
      <c r="E64" s="22">
        <f>D64-C64</f>
        <v>7621744</v>
      </c>
      <c r="F64" s="306">
        <f>IF(C64=0,0,E64/C64)</f>
        <v>0.99442051596788728</v>
      </c>
    </row>
    <row r="65" spans="1:6" ht="24" customHeight="1" x14ac:dyDescent="0.25">
      <c r="A65" s="307"/>
      <c r="B65" s="308" t="s">
        <v>61</v>
      </c>
      <c r="C65" s="309">
        <f>SUM(C61:C64)</f>
        <v>150194133</v>
      </c>
      <c r="D65" s="309">
        <f>SUM(D61:D64)</f>
        <v>93463665</v>
      </c>
      <c r="E65" s="309">
        <f>D65-C65</f>
        <v>-56730468</v>
      </c>
      <c r="F65" s="310">
        <f>IF(C65=0,0,E65/C65)</f>
        <v>-0.37771427463148644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42167565</v>
      </c>
      <c r="D70" s="22">
        <v>-353131</v>
      </c>
      <c r="E70" s="22">
        <f>D70-C70</f>
        <v>-42520696</v>
      </c>
      <c r="F70" s="306">
        <f>IF(C70=0,0,E70/C70)</f>
        <v>-1.0083744698087262</v>
      </c>
    </row>
    <row r="71" spans="1:6" ht="24" customHeight="1" x14ac:dyDescent="0.2">
      <c r="A71" s="304">
        <v>2</v>
      </c>
      <c r="B71" s="305" t="s">
        <v>65</v>
      </c>
      <c r="C71" s="22">
        <v>1486536</v>
      </c>
      <c r="D71" s="22">
        <v>4260</v>
      </c>
      <c r="E71" s="22">
        <f>D71-C71</f>
        <v>-1482276</v>
      </c>
      <c r="F71" s="306">
        <f>IF(C71=0,0,E71/C71)</f>
        <v>-0.99713427727280068</v>
      </c>
    </row>
    <row r="72" spans="1:6" ht="24" customHeight="1" x14ac:dyDescent="0.2">
      <c r="A72" s="304">
        <v>3</v>
      </c>
      <c r="B72" s="305" t="s">
        <v>66</v>
      </c>
      <c r="C72" s="22">
        <v>15053448</v>
      </c>
      <c r="D72" s="22">
        <v>17192229</v>
      </c>
      <c r="E72" s="22">
        <f>D72-C72</f>
        <v>2138781</v>
      </c>
      <c r="F72" s="306">
        <f>IF(C72=0,0,E72/C72)</f>
        <v>0.14207914359554036</v>
      </c>
    </row>
    <row r="73" spans="1:6" ht="24" customHeight="1" x14ac:dyDescent="0.25">
      <c r="A73" s="304"/>
      <c r="B73" s="308" t="s">
        <v>67</v>
      </c>
      <c r="C73" s="309">
        <f>SUM(C70:C72)</f>
        <v>58707549</v>
      </c>
      <c r="D73" s="309">
        <f>SUM(D70:D72)</f>
        <v>16843358</v>
      </c>
      <c r="E73" s="309">
        <f>D73-C73</f>
        <v>-41864191</v>
      </c>
      <c r="F73" s="310">
        <f>IF(C73=0,0,E73/C73)</f>
        <v>-0.71309723729055696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260599645</v>
      </c>
      <c r="D75" s="309">
        <f>D56+D65+D67+D73</f>
        <v>175854161</v>
      </c>
      <c r="E75" s="309">
        <f>D75-C75</f>
        <v>-84745484</v>
      </c>
      <c r="F75" s="310">
        <f>IF(C75=0,0,E75/C75)</f>
        <v>-0.32519416517240457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B37" sqref="B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919633538</v>
      </c>
      <c r="D11" s="76">
        <v>992353011</v>
      </c>
      <c r="E11" s="76">
        <f t="shared" ref="E11:E20" si="0">D11-C11</f>
        <v>72719473</v>
      </c>
      <c r="F11" s="77">
        <f t="shared" ref="F11:F20" si="1">IF(C11=0,0,E11/C11)</f>
        <v>7.9074403004210578E-2</v>
      </c>
    </row>
    <row r="12" spans="1:7" ht="23.1" customHeight="1" x14ac:dyDescent="0.2">
      <c r="A12" s="74">
        <v>2</v>
      </c>
      <c r="B12" s="75" t="s">
        <v>72</v>
      </c>
      <c r="C12" s="76">
        <v>609939044</v>
      </c>
      <c r="D12" s="76">
        <v>686142055</v>
      </c>
      <c r="E12" s="76">
        <f t="shared" si="0"/>
        <v>76203011</v>
      </c>
      <c r="F12" s="77">
        <f t="shared" si="1"/>
        <v>0.12493545338606001</v>
      </c>
    </row>
    <row r="13" spans="1:7" ht="23.1" customHeight="1" x14ac:dyDescent="0.2">
      <c r="A13" s="74">
        <v>3</v>
      </c>
      <c r="B13" s="75" t="s">
        <v>73</v>
      </c>
      <c r="C13" s="76">
        <v>1650100</v>
      </c>
      <c r="D13" s="76">
        <v>1917782</v>
      </c>
      <c r="E13" s="76">
        <f t="shared" si="0"/>
        <v>267682</v>
      </c>
      <c r="F13" s="77">
        <f t="shared" si="1"/>
        <v>0.16222168353433125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308044394</v>
      </c>
      <c r="D15" s="79">
        <f>D11-D12-D13-D14</f>
        <v>304293174</v>
      </c>
      <c r="E15" s="79">
        <f t="shared" si="0"/>
        <v>-3751220</v>
      </c>
      <c r="F15" s="80">
        <f t="shared" si="1"/>
        <v>-1.2177530489322913E-2</v>
      </c>
    </row>
    <row r="16" spans="1:7" ht="23.1" customHeight="1" x14ac:dyDescent="0.2">
      <c r="A16" s="74">
        <v>5</v>
      </c>
      <c r="B16" s="75" t="s">
        <v>76</v>
      </c>
      <c r="C16" s="76">
        <v>10899289</v>
      </c>
      <c r="D16" s="76">
        <v>20615864</v>
      </c>
      <c r="E16" s="76">
        <f t="shared" si="0"/>
        <v>9716575</v>
      </c>
      <c r="F16" s="77">
        <f t="shared" si="1"/>
        <v>0.89148705021033936</v>
      </c>
      <c r="G16" s="65"/>
    </row>
    <row r="17" spans="1:7" ht="31.5" customHeight="1" x14ac:dyDescent="0.25">
      <c r="A17" s="71"/>
      <c r="B17" s="81" t="s">
        <v>77</v>
      </c>
      <c r="C17" s="79">
        <f>C15-C16</f>
        <v>297145105</v>
      </c>
      <c r="D17" s="79">
        <f>D15-D16</f>
        <v>283677310</v>
      </c>
      <c r="E17" s="79">
        <f t="shared" si="0"/>
        <v>-13467795</v>
      </c>
      <c r="F17" s="80">
        <f t="shared" si="1"/>
        <v>-4.5323967224699863E-2</v>
      </c>
    </row>
    <row r="18" spans="1:7" ht="23.1" customHeight="1" x14ac:dyDescent="0.2">
      <c r="A18" s="74">
        <v>6</v>
      </c>
      <c r="B18" s="75" t="s">
        <v>78</v>
      </c>
      <c r="C18" s="76">
        <v>17589913</v>
      </c>
      <c r="D18" s="76">
        <v>13283878</v>
      </c>
      <c r="E18" s="76">
        <f t="shared" si="0"/>
        <v>-4306035</v>
      </c>
      <c r="F18" s="77">
        <f t="shared" si="1"/>
        <v>-0.24480138133713339</v>
      </c>
      <c r="G18" s="65"/>
    </row>
    <row r="19" spans="1:7" ht="33" customHeight="1" x14ac:dyDescent="0.2">
      <c r="A19" s="74">
        <v>7</v>
      </c>
      <c r="B19" s="82" t="s">
        <v>79</v>
      </c>
      <c r="C19" s="76">
        <v>832608</v>
      </c>
      <c r="D19" s="76">
        <v>736110</v>
      </c>
      <c r="E19" s="76">
        <f t="shared" si="0"/>
        <v>-96498</v>
      </c>
      <c r="F19" s="77">
        <f t="shared" si="1"/>
        <v>-0.11589847803528192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315567626</v>
      </c>
      <c r="D20" s="79">
        <f>SUM(D17:D19)</f>
        <v>297697298</v>
      </c>
      <c r="E20" s="79">
        <f t="shared" si="0"/>
        <v>-17870328</v>
      </c>
      <c r="F20" s="80">
        <f t="shared" si="1"/>
        <v>-5.6629154981823138E-2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156774464</v>
      </c>
      <c r="D23" s="76">
        <v>150100277</v>
      </c>
      <c r="E23" s="76">
        <f t="shared" ref="E23:E32" si="2">D23-C23</f>
        <v>-6674187</v>
      </c>
      <c r="F23" s="77">
        <f t="shared" ref="F23:F32" si="3">IF(C23=0,0,E23/C23)</f>
        <v>-4.2571901250448539E-2</v>
      </c>
    </row>
    <row r="24" spans="1:7" ht="23.1" customHeight="1" x14ac:dyDescent="0.2">
      <c r="A24" s="74">
        <v>2</v>
      </c>
      <c r="B24" s="75" t="s">
        <v>83</v>
      </c>
      <c r="C24" s="76">
        <v>44024084</v>
      </c>
      <c r="D24" s="76">
        <v>46795665</v>
      </c>
      <c r="E24" s="76">
        <f t="shared" si="2"/>
        <v>2771581</v>
      </c>
      <c r="F24" s="77">
        <f t="shared" si="3"/>
        <v>6.2956017438091386E-2</v>
      </c>
    </row>
    <row r="25" spans="1:7" ht="23.1" customHeight="1" x14ac:dyDescent="0.2">
      <c r="A25" s="74">
        <v>3</v>
      </c>
      <c r="B25" s="75" t="s">
        <v>84</v>
      </c>
      <c r="C25" s="76">
        <v>15492872</v>
      </c>
      <c r="D25" s="76">
        <v>17072828</v>
      </c>
      <c r="E25" s="76">
        <f t="shared" si="2"/>
        <v>1579956</v>
      </c>
      <c r="F25" s="77">
        <f t="shared" si="3"/>
        <v>0.10197954259223209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34144873</v>
      </c>
      <c r="D26" s="76">
        <v>36562383</v>
      </c>
      <c r="E26" s="76">
        <f t="shared" si="2"/>
        <v>2417510</v>
      </c>
      <c r="F26" s="77">
        <f t="shared" si="3"/>
        <v>7.0801551963599343E-2</v>
      </c>
    </row>
    <row r="27" spans="1:7" ht="23.1" customHeight="1" x14ac:dyDescent="0.2">
      <c r="A27" s="74">
        <v>5</v>
      </c>
      <c r="B27" s="75" t="s">
        <v>86</v>
      </c>
      <c r="C27" s="76">
        <v>11920720</v>
      </c>
      <c r="D27" s="76">
        <v>18925240</v>
      </c>
      <c r="E27" s="76">
        <f t="shared" si="2"/>
        <v>7004520</v>
      </c>
      <c r="F27" s="77">
        <f t="shared" si="3"/>
        <v>0.5875920246428068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3445934</v>
      </c>
      <c r="D29" s="76">
        <v>3293007</v>
      </c>
      <c r="E29" s="76">
        <f t="shared" si="2"/>
        <v>-152927</v>
      </c>
      <c r="F29" s="77">
        <f t="shared" si="3"/>
        <v>-4.4378969533368895E-2</v>
      </c>
    </row>
    <row r="30" spans="1:7" ht="23.1" customHeight="1" x14ac:dyDescent="0.2">
      <c r="A30" s="74">
        <v>8</v>
      </c>
      <c r="B30" s="75" t="s">
        <v>89</v>
      </c>
      <c r="C30" s="76">
        <v>3396254</v>
      </c>
      <c r="D30" s="76">
        <v>2930631</v>
      </c>
      <c r="E30" s="76">
        <f t="shared" si="2"/>
        <v>-465623</v>
      </c>
      <c r="F30" s="77">
        <f t="shared" si="3"/>
        <v>-0.13709899200707604</v>
      </c>
    </row>
    <row r="31" spans="1:7" ht="23.1" customHeight="1" x14ac:dyDescent="0.2">
      <c r="A31" s="74">
        <v>9</v>
      </c>
      <c r="B31" s="75" t="s">
        <v>90</v>
      </c>
      <c r="C31" s="76">
        <v>46648875</v>
      </c>
      <c r="D31" s="76">
        <v>55878453</v>
      </c>
      <c r="E31" s="76">
        <f t="shared" si="2"/>
        <v>9229578</v>
      </c>
      <c r="F31" s="77">
        <f t="shared" si="3"/>
        <v>0.19785210254266583</v>
      </c>
    </row>
    <row r="32" spans="1:7" ht="23.1" customHeight="1" x14ac:dyDescent="0.25">
      <c r="A32" s="71"/>
      <c r="B32" s="78" t="s">
        <v>91</v>
      </c>
      <c r="C32" s="79">
        <f>SUM(C23:C31)</f>
        <v>315848076</v>
      </c>
      <c r="D32" s="79">
        <f>SUM(D23:D31)</f>
        <v>331558484</v>
      </c>
      <c r="E32" s="79">
        <f t="shared" si="2"/>
        <v>15710408</v>
      </c>
      <c r="F32" s="80">
        <f t="shared" si="3"/>
        <v>4.974039480930699E-2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-280450</v>
      </c>
      <c r="D34" s="79">
        <f>+D20-D32</f>
        <v>-33861186</v>
      </c>
      <c r="E34" s="79">
        <f>D34-C34</f>
        <v>-33580736</v>
      </c>
      <c r="F34" s="80">
        <f>IF(C34=0,0,E34/C34)</f>
        <v>119.73876270279908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0</v>
      </c>
      <c r="D37" s="76">
        <v>0</v>
      </c>
      <c r="E37" s="76">
        <f>D37-C37</f>
        <v>0</v>
      </c>
      <c r="F37" s="77">
        <f>IF(C37=0,0,E37/C37)</f>
        <v>0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-2235410</v>
      </c>
      <c r="D39" s="76">
        <v>-5136276</v>
      </c>
      <c r="E39" s="76">
        <f>D39-C39</f>
        <v>-2900866</v>
      </c>
      <c r="F39" s="77">
        <f>IF(C39=0,0,E39/C39)</f>
        <v>1.2976885671979637</v>
      </c>
    </row>
    <row r="40" spans="1:6" ht="23.1" customHeight="1" x14ac:dyDescent="0.25">
      <c r="A40" s="83"/>
      <c r="B40" s="78" t="s">
        <v>97</v>
      </c>
      <c r="C40" s="79">
        <f>SUM(C37:C39)</f>
        <v>-2235410</v>
      </c>
      <c r="D40" s="79">
        <f>SUM(D37:D39)</f>
        <v>-5136276</v>
      </c>
      <c r="E40" s="79">
        <f>D40-C40</f>
        <v>-2900866</v>
      </c>
      <c r="F40" s="80">
        <f>IF(C40=0,0,E40/C40)</f>
        <v>1.2976885671979637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-2515860</v>
      </c>
      <c r="D42" s="79">
        <f>D34+D40</f>
        <v>-38997462</v>
      </c>
      <c r="E42" s="79">
        <f>D42-C42</f>
        <v>-36481602</v>
      </c>
      <c r="F42" s="80">
        <f>IF(C42=0,0,E42/C42)</f>
        <v>14.500648684743984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-2515860</v>
      </c>
      <c r="D49" s="79">
        <f>D42+D47</f>
        <v>-38997462</v>
      </c>
      <c r="E49" s="79">
        <f>D49-C49</f>
        <v>-36481602</v>
      </c>
      <c r="F49" s="80">
        <f>IF(C49=0,0,E49/C49)</f>
        <v>14.500648684743984</v>
      </c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2017-09-19T19:19:08Z</cp:lastPrinted>
  <dcterms:created xsi:type="dcterms:W3CDTF">2017-09-14T16:13:36Z</dcterms:created>
  <dcterms:modified xsi:type="dcterms:W3CDTF">2017-09-19T19:34:57Z</dcterms:modified>
</cp:coreProperties>
</file>