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6AR12M\Excel Downloads\"/>
    </mc:Choice>
  </mc:AlternateContent>
  <bookViews>
    <workbookView xWindow="0" yWindow="0" windowWidth="28800" windowHeight="13635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Report485!$A$11:$F$29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 s="1"/>
  <c r="D96" i="22"/>
  <c r="D98" i="22" s="1"/>
  <c r="C96" i="22"/>
  <c r="C98" i="22" s="1"/>
  <c r="E92" i="22"/>
  <c r="D92" i="22"/>
  <c r="C92" i="22"/>
  <c r="E91" i="22"/>
  <c r="D91" i="22"/>
  <c r="D93" i="22" s="1"/>
  <c r="C91" i="22"/>
  <c r="C93" i="22" s="1"/>
  <c r="E87" i="22"/>
  <c r="D87" i="22"/>
  <c r="C87" i="22"/>
  <c r="E86" i="22"/>
  <c r="E88" i="22" s="1"/>
  <c r="D86" i="22"/>
  <c r="C86" i="22"/>
  <c r="E83" i="22"/>
  <c r="D83" i="22"/>
  <c r="D101" i="22"/>
  <c r="C83" i="22"/>
  <c r="E76" i="22"/>
  <c r="D76" i="22"/>
  <c r="C76" i="22"/>
  <c r="E75" i="22"/>
  <c r="E77" i="22" s="1"/>
  <c r="D75" i="22"/>
  <c r="D77" i="22" s="1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/>
  <c r="D12" i="22"/>
  <c r="C12" i="22"/>
  <c r="C33" i="22" s="1"/>
  <c r="D21" i="21"/>
  <c r="E21" i="21" s="1"/>
  <c r="C21" i="21"/>
  <c r="D19" i="21"/>
  <c r="E19" i="21" s="1"/>
  <c r="C19" i="21"/>
  <c r="E17" i="21"/>
  <c r="F17" i="21" s="1"/>
  <c r="E15" i="21"/>
  <c r="F15" i="21" s="1"/>
  <c r="D45" i="20"/>
  <c r="C45" i="20"/>
  <c r="D44" i="20"/>
  <c r="E44" i="20" s="1"/>
  <c r="C44" i="20"/>
  <c r="D43" i="20"/>
  <c r="C43" i="20"/>
  <c r="D36" i="20"/>
  <c r="D40" i="20" s="1"/>
  <c r="C36" i="20"/>
  <c r="C40" i="20" s="1"/>
  <c r="C41" i="20" s="1"/>
  <c r="E35" i="20"/>
  <c r="F35" i="20" s="1"/>
  <c r="E34" i="20"/>
  <c r="F34" i="20" s="1"/>
  <c r="E33" i="20"/>
  <c r="F33" i="20" s="1"/>
  <c r="E30" i="20"/>
  <c r="F30" i="20" s="1"/>
  <c r="E29" i="20"/>
  <c r="F29" i="20" s="1"/>
  <c r="E28" i="20"/>
  <c r="F28" i="20" s="1"/>
  <c r="E27" i="20"/>
  <c r="F27" i="20" s="1"/>
  <c r="D25" i="20"/>
  <c r="D39" i="20" s="1"/>
  <c r="C25" i="20"/>
  <c r="C39" i="20" s="1"/>
  <c r="E24" i="20"/>
  <c r="F24" i="20" s="1"/>
  <c r="E23" i="20"/>
  <c r="F23" i="20" s="1"/>
  <c r="E22" i="20"/>
  <c r="F22" i="20" s="1"/>
  <c r="D19" i="20"/>
  <c r="D20" i="20" s="1"/>
  <c r="C19" i="20"/>
  <c r="C20" i="20" s="1"/>
  <c r="F18" i="20"/>
  <c r="E18" i="20"/>
  <c r="D16" i="20"/>
  <c r="C16" i="20"/>
  <c r="E15" i="20"/>
  <c r="F15" i="20" s="1"/>
  <c r="F13" i="20"/>
  <c r="E13" i="20"/>
  <c r="E12" i="20"/>
  <c r="F12" i="20" s="1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 s="1"/>
  <c r="C63" i="19"/>
  <c r="C59" i="19"/>
  <c r="C60" i="19" s="1"/>
  <c r="C48" i="19"/>
  <c r="C64" i="19" s="1"/>
  <c r="C36" i="19"/>
  <c r="C32" i="19"/>
  <c r="C33" i="19" s="1"/>
  <c r="C21" i="19"/>
  <c r="C37" i="19" s="1"/>
  <c r="E328" i="18"/>
  <c r="E325" i="18"/>
  <c r="D324" i="18"/>
  <c r="D326" i="18" s="1"/>
  <c r="C324" i="18"/>
  <c r="C326" i="18" s="1"/>
  <c r="E318" i="18"/>
  <c r="E315" i="18"/>
  <c r="D314" i="18"/>
  <c r="D316" i="18" s="1"/>
  <c r="C314" i="18"/>
  <c r="C316" i="18" s="1"/>
  <c r="C320" i="18" s="1"/>
  <c r="E308" i="18"/>
  <c r="E305" i="18"/>
  <c r="D301" i="18"/>
  <c r="C301" i="18"/>
  <c r="D293" i="18"/>
  <c r="E293" i="18" s="1"/>
  <c r="C293" i="18"/>
  <c r="D292" i="18"/>
  <c r="C292" i="18"/>
  <c r="D291" i="18"/>
  <c r="E291" i="18" s="1"/>
  <c r="C291" i="18"/>
  <c r="D290" i="18"/>
  <c r="C290" i="18"/>
  <c r="E290" i="18"/>
  <c r="D288" i="18"/>
  <c r="C288" i="18"/>
  <c r="E288" i="18" s="1"/>
  <c r="D287" i="18"/>
  <c r="E287" i="18" s="1"/>
  <c r="C287" i="18"/>
  <c r="D282" i="18"/>
  <c r="C282" i="18"/>
  <c r="D281" i="18"/>
  <c r="C281" i="18"/>
  <c r="D280" i="18"/>
  <c r="C280" i="18"/>
  <c r="D279" i="18"/>
  <c r="E279" i="18" s="1"/>
  <c r="C279" i="18"/>
  <c r="D278" i="18"/>
  <c r="C278" i="18"/>
  <c r="D277" i="18"/>
  <c r="C277" i="18"/>
  <c r="D276" i="18"/>
  <c r="C276" i="18"/>
  <c r="E276" i="18" s="1"/>
  <c r="E270" i="18"/>
  <c r="D265" i="18"/>
  <c r="D302" i="18" s="1"/>
  <c r="C265" i="18"/>
  <c r="C302" i="18"/>
  <c r="D262" i="18"/>
  <c r="C262" i="18"/>
  <c r="D251" i="18"/>
  <c r="C251" i="18"/>
  <c r="D233" i="18"/>
  <c r="C233" i="18"/>
  <c r="D232" i="18"/>
  <c r="E232" i="18"/>
  <c r="C232" i="18"/>
  <c r="D231" i="18"/>
  <c r="C231" i="18"/>
  <c r="D230" i="18"/>
  <c r="C230" i="18"/>
  <c r="D228" i="18"/>
  <c r="C228" i="18"/>
  <c r="E228" i="18" s="1"/>
  <c r="D227" i="18"/>
  <c r="E227" i="18" s="1"/>
  <c r="C227" i="18"/>
  <c r="D221" i="18"/>
  <c r="C221" i="18"/>
  <c r="C245" i="18" s="1"/>
  <c r="D220" i="18"/>
  <c r="D244" i="18" s="1"/>
  <c r="C220" i="18"/>
  <c r="C244" i="18" s="1"/>
  <c r="D219" i="18"/>
  <c r="C219" i="18"/>
  <c r="C243" i="18" s="1"/>
  <c r="E243" i="18" s="1"/>
  <c r="D218" i="18"/>
  <c r="D217" i="18" s="1"/>
  <c r="D242" i="18"/>
  <c r="C218" i="18"/>
  <c r="D216" i="18"/>
  <c r="D240" i="18" s="1"/>
  <c r="C216" i="18"/>
  <c r="D215" i="18"/>
  <c r="C215" i="18"/>
  <c r="C239" i="18" s="1"/>
  <c r="E209" i="18"/>
  <c r="E208" i="18"/>
  <c r="E207" i="18"/>
  <c r="E206" i="18"/>
  <c r="D205" i="18"/>
  <c r="D229" i="18" s="1"/>
  <c r="C205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8" i="18"/>
  <c r="D189" i="18" s="1"/>
  <c r="D261" i="18"/>
  <c r="C188" i="18"/>
  <c r="E188" i="18" s="1"/>
  <c r="E186" i="18"/>
  <c r="E185" i="18"/>
  <c r="D179" i="18"/>
  <c r="C179" i="18"/>
  <c r="D178" i="18"/>
  <c r="C178" i="18"/>
  <c r="E178" i="18" s="1"/>
  <c r="D177" i="18"/>
  <c r="E177" i="18" s="1"/>
  <c r="C177" i="18"/>
  <c r="D176" i="18"/>
  <c r="E176" i="18"/>
  <c r="C176" i="18"/>
  <c r="D174" i="18"/>
  <c r="E174" i="18" s="1"/>
  <c r="C174" i="18"/>
  <c r="D173" i="18"/>
  <c r="C173" i="18"/>
  <c r="D167" i="18"/>
  <c r="C167" i="18"/>
  <c r="E167" i="18" s="1"/>
  <c r="D166" i="18"/>
  <c r="C166" i="18"/>
  <c r="E166" i="18" s="1"/>
  <c r="D165" i="18"/>
  <c r="E165" i="18" s="1"/>
  <c r="C165" i="18"/>
  <c r="D164" i="18"/>
  <c r="C164" i="18"/>
  <c r="D162" i="18"/>
  <c r="C162" i="18"/>
  <c r="E162" i="18" s="1"/>
  <c r="D161" i="18"/>
  <c r="C161" i="18"/>
  <c r="D156" i="18"/>
  <c r="E155" i="18"/>
  <c r="E154" i="18"/>
  <c r="E153" i="18"/>
  <c r="E152" i="18"/>
  <c r="D151" i="18"/>
  <c r="C151" i="18"/>
  <c r="E150" i="18"/>
  <c r="E149" i="18"/>
  <c r="E143" i="18"/>
  <c r="E142" i="18"/>
  <c r="E141" i="18"/>
  <c r="E140" i="18"/>
  <c r="D139" i="18"/>
  <c r="D163" i="18" s="1"/>
  <c r="C139" i="18"/>
  <c r="E138" i="18"/>
  <c r="E137" i="18"/>
  <c r="D75" i="18"/>
  <c r="C75" i="18"/>
  <c r="D74" i="18"/>
  <c r="C74" i="18"/>
  <c r="E74" i="18" s="1"/>
  <c r="D73" i="18"/>
  <c r="C73" i="18"/>
  <c r="D72" i="18"/>
  <c r="C72" i="18"/>
  <c r="D70" i="18"/>
  <c r="C70" i="18"/>
  <c r="E70" i="18" s="1"/>
  <c r="D69" i="18"/>
  <c r="C69" i="18"/>
  <c r="E64" i="18"/>
  <c r="E63" i="18"/>
  <c r="E62" i="18"/>
  <c r="E61" i="18"/>
  <c r="D60" i="18"/>
  <c r="C60" i="18"/>
  <c r="C289" i="18" s="1"/>
  <c r="E59" i="18"/>
  <c r="E58" i="18"/>
  <c r="D54" i="18"/>
  <c r="C54" i="18"/>
  <c r="C55" i="18" s="1"/>
  <c r="E53" i="18"/>
  <c r="E52" i="18"/>
  <c r="E51" i="18"/>
  <c r="E50" i="18"/>
  <c r="E49" i="18"/>
  <c r="E48" i="18"/>
  <c r="E47" i="18"/>
  <c r="D42" i="18"/>
  <c r="E42" i="18" s="1"/>
  <c r="C42" i="18"/>
  <c r="D41" i="18"/>
  <c r="C41" i="18"/>
  <c r="D40" i="18"/>
  <c r="C40" i="18"/>
  <c r="D39" i="18"/>
  <c r="E39" i="18" s="1"/>
  <c r="C39" i="18"/>
  <c r="D38" i="18"/>
  <c r="C38" i="18"/>
  <c r="D37" i="18"/>
  <c r="C37" i="18"/>
  <c r="E37" i="18" s="1"/>
  <c r="D36" i="18"/>
  <c r="C36" i="18"/>
  <c r="D32" i="18"/>
  <c r="E32" i="18" s="1"/>
  <c r="C32" i="18"/>
  <c r="C33" i="18" s="1"/>
  <c r="E31" i="18"/>
  <c r="E30" i="18"/>
  <c r="E29" i="18"/>
  <c r="E28" i="18"/>
  <c r="E27" i="18"/>
  <c r="E26" i="18"/>
  <c r="E25" i="18"/>
  <c r="D21" i="18"/>
  <c r="C21" i="18"/>
  <c r="E20" i="18"/>
  <c r="E19" i="18"/>
  <c r="E18" i="18"/>
  <c r="E17" i="18"/>
  <c r="E16" i="18"/>
  <c r="E15" i="18"/>
  <c r="E14" i="18"/>
  <c r="E335" i="17"/>
  <c r="F335" i="17" s="1"/>
  <c r="F334" i="17"/>
  <c r="E334" i="17"/>
  <c r="E333" i="17"/>
  <c r="F333" i="17" s="1"/>
  <c r="F332" i="17"/>
  <c r="E332" i="17"/>
  <c r="E331" i="17"/>
  <c r="F331" i="17" s="1"/>
  <c r="E330" i="17"/>
  <c r="F330" i="17" s="1"/>
  <c r="E329" i="17"/>
  <c r="F329" i="17" s="1"/>
  <c r="F316" i="17"/>
  <c r="E316" i="17"/>
  <c r="D311" i="17"/>
  <c r="C311" i="17"/>
  <c r="F311" i="17" s="1"/>
  <c r="E308" i="17"/>
  <c r="F308" i="17" s="1"/>
  <c r="D307" i="17"/>
  <c r="E307" i="17" s="1"/>
  <c r="C307" i="17"/>
  <c r="D299" i="17"/>
  <c r="C299" i="17"/>
  <c r="D298" i="17"/>
  <c r="C298" i="17"/>
  <c r="D297" i="17"/>
  <c r="E297" i="17" s="1"/>
  <c r="F297" i="17" s="1"/>
  <c r="C297" i="17"/>
  <c r="D296" i="17"/>
  <c r="C296" i="17"/>
  <c r="D295" i="17"/>
  <c r="C295" i="17"/>
  <c r="D294" i="17"/>
  <c r="C294" i="17"/>
  <c r="D250" i="17"/>
  <c r="D306" i="17" s="1"/>
  <c r="E306" i="17" s="1"/>
  <c r="C250" i="17"/>
  <c r="C306" i="17"/>
  <c r="E249" i="17"/>
  <c r="F249" i="17" s="1"/>
  <c r="E248" i="17"/>
  <c r="F248" i="17" s="1"/>
  <c r="F245" i="17"/>
  <c r="E245" i="17"/>
  <c r="E244" i="17"/>
  <c r="F244" i="17" s="1"/>
  <c r="E243" i="17"/>
  <c r="F243" i="17" s="1"/>
  <c r="D238" i="17"/>
  <c r="C238" i="17"/>
  <c r="D237" i="17"/>
  <c r="C237" i="17"/>
  <c r="E234" i="17"/>
  <c r="F234" i="17" s="1"/>
  <c r="E233" i="17"/>
  <c r="F233" i="17" s="1"/>
  <c r="D230" i="17"/>
  <c r="C230" i="17"/>
  <c r="D229" i="17"/>
  <c r="C229" i="17"/>
  <c r="F228" i="17"/>
  <c r="E228" i="17"/>
  <c r="D226" i="17"/>
  <c r="C226" i="17"/>
  <c r="C227" i="17" s="1"/>
  <c r="F227" i="17" s="1"/>
  <c r="F225" i="17"/>
  <c r="E225" i="17"/>
  <c r="F224" i="17"/>
  <c r="E224" i="17"/>
  <c r="D223" i="17"/>
  <c r="E223" i="17" s="1"/>
  <c r="C223" i="17"/>
  <c r="F222" i="17"/>
  <c r="E222" i="17"/>
  <c r="F221" i="17"/>
  <c r="E221" i="17"/>
  <c r="D204" i="17"/>
  <c r="C204" i="17"/>
  <c r="C285" i="17"/>
  <c r="D203" i="17"/>
  <c r="C203" i="17"/>
  <c r="C283" i="17"/>
  <c r="D198" i="17"/>
  <c r="C198" i="17"/>
  <c r="D191" i="17"/>
  <c r="D280" i="17"/>
  <c r="C191" i="17"/>
  <c r="D189" i="17"/>
  <c r="C189" i="17"/>
  <c r="D188" i="17"/>
  <c r="C188" i="17"/>
  <c r="C190" i="17" s="1"/>
  <c r="D180" i="17"/>
  <c r="C180" i="17"/>
  <c r="D179" i="17"/>
  <c r="D181" i="17" s="1"/>
  <c r="C179" i="17"/>
  <c r="D171" i="17"/>
  <c r="C171" i="17"/>
  <c r="C172" i="17"/>
  <c r="D170" i="17"/>
  <c r="C170" i="17"/>
  <c r="E169" i="17"/>
  <c r="F169" i="17"/>
  <c r="E168" i="17"/>
  <c r="F168" i="17" s="1"/>
  <c r="D165" i="17"/>
  <c r="E165" i="17" s="1"/>
  <c r="F165" i="17" s="1"/>
  <c r="C165" i="17"/>
  <c r="D164" i="17"/>
  <c r="C164" i="17"/>
  <c r="E163" i="17"/>
  <c r="F163" i="17" s="1"/>
  <c r="D158" i="17"/>
  <c r="D159" i="17" s="1"/>
  <c r="C158" i="17"/>
  <c r="E157" i="17"/>
  <c r="F157" i="17" s="1"/>
  <c r="E156" i="17"/>
  <c r="F156" i="17" s="1"/>
  <c r="D155" i="17"/>
  <c r="C155" i="17"/>
  <c r="E155" i="17"/>
  <c r="F155" i="17" s="1"/>
  <c r="E154" i="17"/>
  <c r="F154" i="17" s="1"/>
  <c r="E153" i="17"/>
  <c r="F153" i="17" s="1"/>
  <c r="D145" i="17"/>
  <c r="E145" i="17" s="1"/>
  <c r="F145" i="17" s="1"/>
  <c r="C145" i="17"/>
  <c r="D144" i="17"/>
  <c r="C144" i="17"/>
  <c r="C146" i="17"/>
  <c r="D136" i="17"/>
  <c r="D137" i="17" s="1"/>
  <c r="C136" i="17"/>
  <c r="C137" i="17"/>
  <c r="D135" i="17"/>
  <c r="E135" i="17" s="1"/>
  <c r="C135" i="17"/>
  <c r="E134" i="17"/>
  <c r="F134" i="17"/>
  <c r="E133" i="17"/>
  <c r="F133" i="17" s="1"/>
  <c r="D130" i="17"/>
  <c r="C130" i="17"/>
  <c r="D129" i="17"/>
  <c r="E129" i="17" s="1"/>
  <c r="F129" i="17" s="1"/>
  <c r="C129" i="17"/>
  <c r="E128" i="17"/>
  <c r="F128" i="17"/>
  <c r="D123" i="17"/>
  <c r="C123" i="17"/>
  <c r="E122" i="17"/>
  <c r="F122" i="17" s="1"/>
  <c r="E121" i="17"/>
  <c r="F121" i="17" s="1"/>
  <c r="D120" i="17"/>
  <c r="C120" i="17"/>
  <c r="E119" i="17"/>
  <c r="F119" i="17" s="1"/>
  <c r="E118" i="17"/>
  <c r="F118" i="17" s="1"/>
  <c r="D110" i="17"/>
  <c r="C110" i="17"/>
  <c r="D109" i="17"/>
  <c r="C109" i="17"/>
  <c r="C111" i="17" s="1"/>
  <c r="D101" i="17"/>
  <c r="C101" i="17"/>
  <c r="C102" i="17"/>
  <c r="D100" i="17"/>
  <c r="C100" i="17"/>
  <c r="E99" i="17"/>
  <c r="F99" i="17" s="1"/>
  <c r="E98" i="17"/>
  <c r="F98" i="17" s="1"/>
  <c r="D95" i="17"/>
  <c r="C95" i="17"/>
  <c r="E95" i="17" s="1"/>
  <c r="D94" i="17"/>
  <c r="E94" i="17" s="1"/>
  <c r="C94" i="17"/>
  <c r="E93" i="17"/>
  <c r="F93" i="17" s="1"/>
  <c r="D88" i="17"/>
  <c r="E88" i="17" s="1"/>
  <c r="F88" i="17" s="1"/>
  <c r="C88" i="17"/>
  <c r="C89" i="17" s="1"/>
  <c r="E87" i="17"/>
  <c r="F87" i="17" s="1"/>
  <c r="E86" i="17"/>
  <c r="F86" i="17" s="1"/>
  <c r="D85" i="17"/>
  <c r="E85" i="17" s="1"/>
  <c r="C85" i="17"/>
  <c r="F84" i="17"/>
  <c r="E84" i="17"/>
  <c r="E83" i="17"/>
  <c r="F83" i="17" s="1"/>
  <c r="D76" i="17"/>
  <c r="D77" i="17" s="1"/>
  <c r="C76" i="17"/>
  <c r="C77" i="17"/>
  <c r="E74" i="17"/>
  <c r="F74" i="17" s="1"/>
  <c r="E73" i="17"/>
  <c r="F73" i="17"/>
  <c r="D67" i="17"/>
  <c r="C67" i="17"/>
  <c r="D66" i="17"/>
  <c r="C66" i="17"/>
  <c r="D59" i="17"/>
  <c r="E59" i="17" s="1"/>
  <c r="F59" i="17" s="1"/>
  <c r="D60" i="17"/>
  <c r="E60" i="17" s="1"/>
  <c r="C59" i="17"/>
  <c r="D58" i="17"/>
  <c r="C58" i="17"/>
  <c r="E57" i="17"/>
  <c r="F57" i="17"/>
  <c r="E56" i="17"/>
  <c r="F56" i="17" s="1"/>
  <c r="D53" i="17"/>
  <c r="C53" i="17"/>
  <c r="D52" i="17"/>
  <c r="C52" i="17"/>
  <c r="E51" i="17"/>
  <c r="F51" i="17" s="1"/>
  <c r="D47" i="17"/>
  <c r="D48" i="17" s="1"/>
  <c r="C47" i="17"/>
  <c r="E46" i="17"/>
  <c r="F46" i="17" s="1"/>
  <c r="E45" i="17"/>
  <c r="F45" i="17" s="1"/>
  <c r="D44" i="17"/>
  <c r="C44" i="17"/>
  <c r="E43" i="17"/>
  <c r="F43" i="17" s="1"/>
  <c r="E42" i="17"/>
  <c r="F42" i="17" s="1"/>
  <c r="D36" i="17"/>
  <c r="C36" i="17"/>
  <c r="D35" i="17"/>
  <c r="D37" i="17" s="1"/>
  <c r="C35" i="17"/>
  <c r="D30" i="17"/>
  <c r="D31" i="17" s="1"/>
  <c r="D32" i="17" s="1"/>
  <c r="C30" i="17"/>
  <c r="D29" i="17"/>
  <c r="C29" i="17"/>
  <c r="E29" i="17" s="1"/>
  <c r="F29" i="17" s="1"/>
  <c r="E28" i="17"/>
  <c r="F28" i="17" s="1"/>
  <c r="E27" i="17"/>
  <c r="F27" i="17" s="1"/>
  <c r="D24" i="17"/>
  <c r="C24" i="17"/>
  <c r="D23" i="17"/>
  <c r="C23" i="17"/>
  <c r="E23" i="17" s="1"/>
  <c r="F23" i="17" s="1"/>
  <c r="E22" i="17"/>
  <c r="F22" i="17" s="1"/>
  <c r="D20" i="17"/>
  <c r="C20" i="17"/>
  <c r="E19" i="17"/>
  <c r="F19" i="17" s="1"/>
  <c r="E18" i="17"/>
  <c r="F18" i="17" s="1"/>
  <c r="D17" i="17"/>
  <c r="C17" i="17"/>
  <c r="E17" i="17" s="1"/>
  <c r="E16" i="17"/>
  <c r="F16" i="17" s="1"/>
  <c r="E15" i="17"/>
  <c r="F15" i="17" s="1"/>
  <c r="D22" i="16"/>
  <c r="E22" i="16" s="1"/>
  <c r="C22" i="16"/>
  <c r="E21" i="16"/>
  <c r="F21" i="16" s="1"/>
  <c r="F20" i="16"/>
  <c r="E20" i="16"/>
  <c r="D17" i="16"/>
  <c r="E17" i="16" s="1"/>
  <c r="C17" i="16"/>
  <c r="E16" i="16"/>
  <c r="F16" i="16" s="1"/>
  <c r="D13" i="16"/>
  <c r="E13" i="16" s="1"/>
  <c r="F13" i="16" s="1"/>
  <c r="C13" i="16"/>
  <c r="E12" i="16"/>
  <c r="F12" i="16" s="1"/>
  <c r="D107" i="15"/>
  <c r="C107" i="15"/>
  <c r="F106" i="15"/>
  <c r="E106" i="15"/>
  <c r="E105" i="15"/>
  <c r="F105" i="15" s="1"/>
  <c r="E104" i="15"/>
  <c r="F104" i="15" s="1"/>
  <c r="D100" i="15"/>
  <c r="E100" i="15" s="1"/>
  <c r="F100" i="15" s="1"/>
  <c r="C100" i="15"/>
  <c r="E99" i="15"/>
  <c r="F99" i="15" s="1"/>
  <c r="F98" i="15"/>
  <c r="E98" i="15"/>
  <c r="F97" i="15"/>
  <c r="E97" i="15"/>
  <c r="F96" i="15"/>
  <c r="E96" i="15"/>
  <c r="F95" i="15"/>
  <c r="E95" i="15"/>
  <c r="D92" i="15"/>
  <c r="E92" i="15" s="1"/>
  <c r="F92" i="15" s="1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D70" i="15"/>
  <c r="E70" i="15" s="1"/>
  <c r="F70" i="15" s="1"/>
  <c r="C70" i="15"/>
  <c r="E69" i="15"/>
  <c r="F69" i="15" s="1"/>
  <c r="F68" i="15"/>
  <c r="E68" i="15"/>
  <c r="D65" i="15"/>
  <c r="E65" i="15"/>
  <c r="F65" i="15" s="1"/>
  <c r="C65" i="15"/>
  <c r="F64" i="15"/>
  <c r="E64" i="15"/>
  <c r="F63" i="15"/>
  <c r="E63" i="15"/>
  <c r="D60" i="15"/>
  <c r="C60" i="15"/>
  <c r="F60" i="15" s="1"/>
  <c r="F59" i="15"/>
  <c r="E59" i="15"/>
  <c r="F58" i="15"/>
  <c r="E58" i="15"/>
  <c r="D55" i="15"/>
  <c r="E55" i="15" s="1"/>
  <c r="C55" i="15"/>
  <c r="F55" i="15" s="1"/>
  <c r="F54" i="15"/>
  <c r="E54" i="15"/>
  <c r="F53" i="15"/>
  <c r="E53" i="15"/>
  <c r="D50" i="15"/>
  <c r="E50" i="15" s="1"/>
  <c r="C50" i="15"/>
  <c r="F50" i="15" s="1"/>
  <c r="F49" i="15"/>
  <c r="E49" i="15"/>
  <c r="F48" i="15"/>
  <c r="E48" i="15"/>
  <c r="D45" i="15"/>
  <c r="E45" i="15" s="1"/>
  <c r="C45" i="15"/>
  <c r="F45" i="15" s="1"/>
  <c r="F44" i="15"/>
  <c r="E44" i="15"/>
  <c r="F43" i="15"/>
  <c r="E43" i="15"/>
  <c r="D37" i="15"/>
  <c r="C37" i="15"/>
  <c r="E37" i="15" s="1"/>
  <c r="F36" i="15"/>
  <c r="E36" i="15"/>
  <c r="F35" i="15"/>
  <c r="E35" i="15"/>
  <c r="E34" i="15"/>
  <c r="F34" i="15" s="1"/>
  <c r="F33" i="15"/>
  <c r="E33" i="15"/>
  <c r="F30" i="15"/>
  <c r="D30" i="15"/>
  <c r="E30" i="15" s="1"/>
  <c r="C30" i="15"/>
  <c r="F29" i="15"/>
  <c r="E29" i="15"/>
  <c r="F28" i="15"/>
  <c r="E28" i="15"/>
  <c r="F27" i="15"/>
  <c r="E27" i="15"/>
  <c r="F26" i="15"/>
  <c r="E26" i="15"/>
  <c r="D23" i="15"/>
  <c r="C23" i="15"/>
  <c r="F22" i="15"/>
  <c r="E22" i="15"/>
  <c r="F21" i="15"/>
  <c r="E21" i="15"/>
  <c r="E20" i="15"/>
  <c r="F20" i="15" s="1"/>
  <c r="E19" i="15"/>
  <c r="F19" i="15" s="1"/>
  <c r="D16" i="15"/>
  <c r="C16" i="15"/>
  <c r="F15" i="15"/>
  <c r="E15" i="15"/>
  <c r="E14" i="15"/>
  <c r="F14" i="15" s="1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 s="1"/>
  <c r="F17" i="14"/>
  <c r="E17" i="14"/>
  <c r="D17" i="14"/>
  <c r="D33" i="14"/>
  <c r="D36" i="14" s="1"/>
  <c r="D38" i="14" s="1"/>
  <c r="D40" i="14" s="1"/>
  <c r="C17" i="14"/>
  <c r="C31" i="14" s="1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 s="1"/>
  <c r="E77" i="13" s="1"/>
  <c r="D78" i="13"/>
  <c r="D80" i="13" s="1"/>
  <c r="D77" i="13" s="1"/>
  <c r="C78" i="13"/>
  <c r="C80" i="13" s="1"/>
  <c r="C77" i="13" s="1"/>
  <c r="E73" i="13"/>
  <c r="E75" i="13" s="1"/>
  <c r="D73" i="13"/>
  <c r="D75" i="13" s="1"/>
  <c r="C73" i="13"/>
  <c r="C75" i="13" s="1"/>
  <c r="E71" i="13"/>
  <c r="D71" i="13"/>
  <c r="C71" i="13"/>
  <c r="E66" i="13"/>
  <c r="E65" i="13"/>
  <c r="D66" i="13"/>
  <c r="D65" i="13" s="1"/>
  <c r="C66" i="13"/>
  <c r="C65" i="13"/>
  <c r="E60" i="13"/>
  <c r="D60" i="13"/>
  <c r="C60" i="13"/>
  <c r="E58" i="13"/>
  <c r="D58" i="13"/>
  <c r="C58" i="13"/>
  <c r="E55" i="13"/>
  <c r="D55" i="13"/>
  <c r="C55" i="13"/>
  <c r="C50" i="13" s="1"/>
  <c r="E54" i="13"/>
  <c r="D54" i="13"/>
  <c r="D50" i="13" s="1"/>
  <c r="C54" i="13"/>
  <c r="E46" i="13"/>
  <c r="E48" i="13" s="1"/>
  <c r="D46" i="13"/>
  <c r="D59" i="13" s="1"/>
  <c r="C46" i="13"/>
  <c r="C59" i="13" s="1"/>
  <c r="E45" i="13"/>
  <c r="D45" i="13"/>
  <c r="C45" i="13"/>
  <c r="E38" i="13"/>
  <c r="D38" i="13"/>
  <c r="C38" i="13"/>
  <c r="E33" i="13"/>
  <c r="E34" i="13"/>
  <c r="D33" i="13"/>
  <c r="D34" i="13" s="1"/>
  <c r="E26" i="13"/>
  <c r="D26" i="13"/>
  <c r="C26" i="13"/>
  <c r="E25" i="13"/>
  <c r="E13" i="13"/>
  <c r="E15" i="13" s="1"/>
  <c r="E24" i="13" s="1"/>
  <c r="D13" i="13"/>
  <c r="D25" i="13"/>
  <c r="D27" i="13" s="1"/>
  <c r="C13" i="13"/>
  <c r="C25" i="13" s="1"/>
  <c r="C27" i="13" s="1"/>
  <c r="C21" i="13" s="1"/>
  <c r="D47" i="12"/>
  <c r="E47" i="12" s="1"/>
  <c r="F47" i="12" s="1"/>
  <c r="C47" i="12"/>
  <c r="F46" i="12"/>
  <c r="E46" i="12"/>
  <c r="E45" i="12"/>
  <c r="F45" i="12" s="1"/>
  <c r="D40" i="12"/>
  <c r="C40" i="12"/>
  <c r="E40" i="12" s="1"/>
  <c r="F40" i="12" s="1"/>
  <c r="F39" i="12"/>
  <c r="E39" i="12"/>
  <c r="E38" i="12"/>
  <c r="F38" i="12"/>
  <c r="E37" i="12"/>
  <c r="F37" i="12" s="1"/>
  <c r="D32" i="12"/>
  <c r="C32" i="12"/>
  <c r="E32" i="12" s="1"/>
  <c r="F32" i="12" s="1"/>
  <c r="E31" i="12"/>
  <c r="F31" i="12" s="1"/>
  <c r="E30" i="12"/>
  <c r="F30" i="12"/>
  <c r="E29" i="12"/>
  <c r="F29" i="12" s="1"/>
  <c r="F28" i="12"/>
  <c r="E28" i="12"/>
  <c r="E27" i="12"/>
  <c r="F27" i="12" s="1"/>
  <c r="E26" i="12"/>
  <c r="F26" i="12" s="1"/>
  <c r="E25" i="12"/>
  <c r="F25" i="12"/>
  <c r="E24" i="12"/>
  <c r="F24" i="12" s="1"/>
  <c r="E23" i="12"/>
  <c r="F23" i="12"/>
  <c r="F19" i="12"/>
  <c r="E19" i="12"/>
  <c r="E18" i="12"/>
  <c r="F18" i="12"/>
  <c r="E16" i="12"/>
  <c r="F16" i="12" s="1"/>
  <c r="D15" i="12"/>
  <c r="D17" i="12" s="1"/>
  <c r="C15" i="12"/>
  <c r="E14" i="12"/>
  <c r="F14" i="12" s="1"/>
  <c r="E13" i="12"/>
  <c r="F13" i="12" s="1"/>
  <c r="E12" i="12"/>
  <c r="F12" i="12" s="1"/>
  <c r="E11" i="12"/>
  <c r="F11" i="12"/>
  <c r="D73" i="11"/>
  <c r="E73" i="11" s="1"/>
  <c r="C73" i="11"/>
  <c r="E72" i="11"/>
  <c r="F72" i="11" s="1"/>
  <c r="E71" i="11"/>
  <c r="F71" i="11" s="1"/>
  <c r="F70" i="11"/>
  <c r="E70" i="11"/>
  <c r="F67" i="11"/>
  <c r="E67" i="11"/>
  <c r="E64" i="11"/>
  <c r="F64" i="11" s="1"/>
  <c r="E63" i="11"/>
  <c r="F63" i="11" s="1"/>
  <c r="D61" i="11"/>
  <c r="D65" i="11" s="1"/>
  <c r="C61" i="11"/>
  <c r="F60" i="11"/>
  <c r="E60" i="11"/>
  <c r="F59" i="11"/>
  <c r="E59" i="11"/>
  <c r="D56" i="11"/>
  <c r="C56" i="11"/>
  <c r="E55" i="11"/>
  <c r="F55" i="11" s="1"/>
  <c r="E54" i="11"/>
  <c r="F54" i="11" s="1"/>
  <c r="F53" i="11"/>
  <c r="E53" i="11"/>
  <c r="F52" i="11"/>
  <c r="E52" i="11"/>
  <c r="E51" i="11"/>
  <c r="F51" i="11" s="1"/>
  <c r="E50" i="11"/>
  <c r="F50" i="11"/>
  <c r="A50" i="11"/>
  <c r="A51" i="11" s="1"/>
  <c r="A52" i="11" s="1"/>
  <c r="A53" i="11" s="1"/>
  <c r="A54" i="11" s="1"/>
  <c r="A55" i="11" s="1"/>
  <c r="E49" i="11"/>
  <c r="F49" i="11" s="1"/>
  <c r="E40" i="11"/>
  <c r="F40" i="11" s="1"/>
  <c r="D38" i="11"/>
  <c r="D41" i="11" s="1"/>
  <c r="C38" i="11"/>
  <c r="C41" i="11"/>
  <c r="E37" i="11"/>
  <c r="F37" i="11" s="1"/>
  <c r="E36" i="11"/>
  <c r="F36" i="11" s="1"/>
  <c r="E33" i="11"/>
  <c r="F33" i="11" s="1"/>
  <c r="E32" i="11"/>
  <c r="F32" i="11" s="1"/>
  <c r="F31" i="11"/>
  <c r="E31" i="11"/>
  <c r="D29" i="11"/>
  <c r="C29" i="11"/>
  <c r="E28" i="11"/>
  <c r="F28" i="11" s="1"/>
  <c r="F27" i="11"/>
  <c r="E27" i="11"/>
  <c r="F26" i="11"/>
  <c r="E26" i="11"/>
  <c r="F25" i="11"/>
  <c r="E25" i="11"/>
  <c r="D22" i="11"/>
  <c r="E22" i="11" s="1"/>
  <c r="F22" i="11" s="1"/>
  <c r="D43" i="11"/>
  <c r="C22" i="11"/>
  <c r="E21" i="11"/>
  <c r="F21" i="11" s="1"/>
  <c r="E20" i="11"/>
  <c r="F20" i="11" s="1"/>
  <c r="F19" i="11"/>
  <c r="E19" i="11"/>
  <c r="F18" i="11"/>
  <c r="E18" i="11"/>
  <c r="F17" i="11"/>
  <c r="E17" i="11"/>
  <c r="F16" i="11"/>
  <c r="E16" i="11"/>
  <c r="F15" i="11"/>
  <c r="E15" i="11"/>
  <c r="E14" i="11"/>
  <c r="F14" i="11" s="1"/>
  <c r="F13" i="11"/>
  <c r="E13" i="11"/>
  <c r="D120" i="10"/>
  <c r="E120" i="10" s="1"/>
  <c r="C120" i="10"/>
  <c r="F120" i="10" s="1"/>
  <c r="D119" i="10"/>
  <c r="E119" i="10" s="1"/>
  <c r="C119" i="10"/>
  <c r="F119" i="10" s="1"/>
  <c r="D118" i="10"/>
  <c r="E118" i="10" s="1"/>
  <c r="C118" i="10"/>
  <c r="F118" i="10" s="1"/>
  <c r="D117" i="10"/>
  <c r="E117" i="10" s="1"/>
  <c r="C117" i="10"/>
  <c r="F117" i="10" s="1"/>
  <c r="D116" i="10"/>
  <c r="E116" i="10" s="1"/>
  <c r="C116" i="10"/>
  <c r="F116" i="10" s="1"/>
  <c r="D115" i="10"/>
  <c r="E115" i="10" s="1"/>
  <c r="C115" i="10"/>
  <c r="F115" i="10" s="1"/>
  <c r="D114" i="10"/>
  <c r="E114" i="10" s="1"/>
  <c r="C114" i="10"/>
  <c r="D113" i="10"/>
  <c r="C113" i="10"/>
  <c r="F113" i="10" s="1"/>
  <c r="F112" i="10"/>
  <c r="D112" i="10"/>
  <c r="E112" i="10" s="1"/>
  <c r="C112" i="10"/>
  <c r="F108" i="10"/>
  <c r="D108" i="10"/>
  <c r="E108" i="10" s="1"/>
  <c r="C108" i="10"/>
  <c r="F107" i="10"/>
  <c r="D107" i="10"/>
  <c r="E107" i="10" s="1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C96" i="10"/>
  <c r="F96" i="10" s="1"/>
  <c r="D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 s="1"/>
  <c r="D83" i="10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1" i="10"/>
  <c r="D71" i="10"/>
  <c r="E71" i="10" s="1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 s="1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 s="1"/>
  <c r="C48" i="10"/>
  <c r="D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 s="1"/>
  <c r="C36" i="10"/>
  <c r="F35" i="10"/>
  <c r="D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D23" i="10"/>
  <c r="E23" i="10" s="1"/>
  <c r="C23" i="10"/>
  <c r="F23" i="10" s="1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 s="1"/>
  <c r="C206" i="9"/>
  <c r="F206" i="9" s="1"/>
  <c r="D205" i="9"/>
  <c r="E205" i="9" s="1"/>
  <c r="C205" i="9"/>
  <c r="F205" i="9" s="1"/>
  <c r="D204" i="9"/>
  <c r="E204" i="9" s="1"/>
  <c r="C204" i="9"/>
  <c r="D203" i="9"/>
  <c r="E203" i="9" s="1"/>
  <c r="C203" i="9"/>
  <c r="F203" i="9" s="1"/>
  <c r="D202" i="9"/>
  <c r="E202" i="9" s="1"/>
  <c r="C202" i="9"/>
  <c r="D201" i="9"/>
  <c r="E201" i="9" s="1"/>
  <c r="C201" i="9"/>
  <c r="D200" i="9"/>
  <c r="C200" i="9"/>
  <c r="D199" i="9"/>
  <c r="D208" i="9" s="1"/>
  <c r="C199" i="9"/>
  <c r="C208" i="9"/>
  <c r="D198" i="9"/>
  <c r="D207" i="9" s="1"/>
  <c r="C198" i="9"/>
  <c r="C207" i="9"/>
  <c r="F193" i="9"/>
  <c r="D193" i="9"/>
  <c r="C193" i="9"/>
  <c r="D192" i="9"/>
  <c r="C192" i="9"/>
  <c r="F192" i="9" s="1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D180" i="9"/>
  <c r="C180" i="9"/>
  <c r="F179" i="9"/>
  <c r="D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C167" i="9"/>
  <c r="F167" i="9" s="1"/>
  <c r="F166" i="9"/>
  <c r="D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F154" i="9" s="1"/>
  <c r="D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 s="1"/>
  <c r="C141" i="9"/>
  <c r="D140" i="9"/>
  <c r="C140" i="9"/>
  <c r="F139" i="9"/>
  <c r="E139" i="9"/>
  <c r="E138" i="9"/>
  <c r="F138" i="9" s="1"/>
  <c r="E137" i="9"/>
  <c r="F137" i="9" s="1"/>
  <c r="E136" i="9"/>
  <c r="F136" i="9" s="1"/>
  <c r="E135" i="9"/>
  <c r="F135" i="9" s="1"/>
  <c r="E134" i="9"/>
  <c r="F134" i="9" s="1"/>
  <c r="E133" i="9"/>
  <c r="F133" i="9" s="1"/>
  <c r="E132" i="9"/>
  <c r="F132" i="9" s="1"/>
  <c r="E131" i="9"/>
  <c r="F131" i="9" s="1"/>
  <c r="D128" i="9"/>
  <c r="C128" i="9"/>
  <c r="D127" i="9"/>
  <c r="E127" i="9" s="1"/>
  <c r="F127" i="9" s="1"/>
  <c r="C127" i="9"/>
  <c r="F126" i="9"/>
  <c r="E126" i="9"/>
  <c r="E125" i="9"/>
  <c r="F125" i="9" s="1"/>
  <c r="E124" i="9"/>
  <c r="F124" i="9" s="1"/>
  <c r="E123" i="9"/>
  <c r="F123" i="9" s="1"/>
  <c r="E122" i="9"/>
  <c r="F122" i="9" s="1"/>
  <c r="E121" i="9"/>
  <c r="F121" i="9" s="1"/>
  <c r="E120" i="9"/>
  <c r="F120" i="9" s="1"/>
  <c r="E119" i="9"/>
  <c r="F119" i="9" s="1"/>
  <c r="E118" i="9"/>
  <c r="F118" i="9" s="1"/>
  <c r="D115" i="9"/>
  <c r="C115" i="9"/>
  <c r="E115" i="9" s="1"/>
  <c r="D114" i="9"/>
  <c r="E114" i="9" s="1"/>
  <c r="C114" i="9"/>
  <c r="F113" i="9"/>
  <c r="E113" i="9"/>
  <c r="E112" i="9"/>
  <c r="F112" i="9" s="1"/>
  <c r="E111" i="9"/>
  <c r="F111" i="9" s="1"/>
  <c r="E110" i="9"/>
  <c r="F110" i="9" s="1"/>
  <c r="E109" i="9"/>
  <c r="F109" i="9" s="1"/>
  <c r="E108" i="9"/>
  <c r="F108" i="9" s="1"/>
  <c r="E107" i="9"/>
  <c r="F107" i="9" s="1"/>
  <c r="E106" i="9"/>
  <c r="F106" i="9" s="1"/>
  <c r="E105" i="9"/>
  <c r="F105" i="9" s="1"/>
  <c r="D102" i="9"/>
  <c r="E102" i="9"/>
  <c r="F102" i="9" s="1"/>
  <c r="C102" i="9"/>
  <c r="D101" i="9"/>
  <c r="C101" i="9"/>
  <c r="F100" i="9"/>
  <c r="E100" i="9"/>
  <c r="E99" i="9"/>
  <c r="F99" i="9" s="1"/>
  <c r="E98" i="9"/>
  <c r="F98" i="9" s="1"/>
  <c r="E97" i="9"/>
  <c r="F97" i="9" s="1"/>
  <c r="E96" i="9"/>
  <c r="F96" i="9" s="1"/>
  <c r="E95" i="9"/>
  <c r="F95" i="9" s="1"/>
  <c r="E94" i="9"/>
  <c r="F94" i="9" s="1"/>
  <c r="E93" i="9"/>
  <c r="F93" i="9" s="1"/>
  <c r="E92" i="9"/>
  <c r="F92" i="9" s="1"/>
  <c r="F89" i="9"/>
  <c r="D89" i="9"/>
  <c r="C89" i="9"/>
  <c r="D88" i="9"/>
  <c r="C88" i="9"/>
  <c r="F88" i="9" s="1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E75" i="9" s="1"/>
  <c r="F75" i="9" s="1"/>
  <c r="C75" i="9"/>
  <c r="F74" i="9"/>
  <c r="E74" i="9"/>
  <c r="E73" i="9"/>
  <c r="F73" i="9" s="1"/>
  <c r="E72" i="9"/>
  <c r="F72" i="9" s="1"/>
  <c r="F71" i="9"/>
  <c r="E71" i="9"/>
  <c r="E70" i="9"/>
  <c r="F70" i="9" s="1"/>
  <c r="E69" i="9"/>
  <c r="F69" i="9" s="1"/>
  <c r="E68" i="9"/>
  <c r="F68" i="9" s="1"/>
  <c r="E67" i="9"/>
  <c r="F67" i="9" s="1"/>
  <c r="E66" i="9"/>
  <c r="F66" i="9" s="1"/>
  <c r="D63" i="9"/>
  <c r="E63" i="9" s="1"/>
  <c r="C63" i="9"/>
  <c r="F63" i="9" s="1"/>
  <c r="D62" i="9"/>
  <c r="C62" i="9"/>
  <c r="E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 s="1"/>
  <c r="F50" i="9" s="1"/>
  <c r="C50" i="9"/>
  <c r="D49" i="9"/>
  <c r="C49" i="9"/>
  <c r="F48" i="9"/>
  <c r="E48" i="9"/>
  <c r="E47" i="9"/>
  <c r="F47" i="9" s="1"/>
  <c r="E46" i="9"/>
  <c r="F46" i="9" s="1"/>
  <c r="E45" i="9"/>
  <c r="F45" i="9" s="1"/>
  <c r="E44" i="9"/>
  <c r="F44" i="9" s="1"/>
  <c r="F43" i="9"/>
  <c r="E43" i="9"/>
  <c r="E42" i="9"/>
  <c r="F42" i="9" s="1"/>
  <c r="E41" i="9"/>
  <c r="F41" i="9" s="1"/>
  <c r="E40" i="9"/>
  <c r="F40" i="9" s="1"/>
  <c r="F37" i="9"/>
  <c r="D37" i="9"/>
  <c r="C37" i="9"/>
  <c r="D36" i="9"/>
  <c r="E36" i="9" s="1"/>
  <c r="C36" i="9"/>
  <c r="F36" i="9" s="1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C24" i="9"/>
  <c r="D23" i="9"/>
  <c r="E23" i="9" s="1"/>
  <c r="F23" i="9" s="1"/>
  <c r="C23" i="9"/>
  <c r="F22" i="9"/>
  <c r="E22" i="9"/>
  <c r="E21" i="9"/>
  <c r="F21" i="9" s="1"/>
  <c r="E20" i="9"/>
  <c r="F20" i="9" s="1"/>
  <c r="F19" i="9"/>
  <c r="E19" i="9"/>
  <c r="E18" i="9"/>
  <c r="F18" i="9" s="1"/>
  <c r="E17" i="9"/>
  <c r="F17" i="9" s="1"/>
  <c r="E16" i="9"/>
  <c r="F16" i="9" s="1"/>
  <c r="E15" i="9"/>
  <c r="F15" i="9" s="1"/>
  <c r="E14" i="9"/>
  <c r="F14" i="9" s="1"/>
  <c r="E191" i="8"/>
  <c r="D191" i="8"/>
  <c r="C191" i="8"/>
  <c r="E176" i="8"/>
  <c r="D176" i="8"/>
  <c r="C176" i="8"/>
  <c r="E164" i="8"/>
  <c r="D164" i="8"/>
  <c r="D160" i="8"/>
  <c r="C164" i="8"/>
  <c r="E162" i="8"/>
  <c r="D162" i="8"/>
  <c r="C162" i="8"/>
  <c r="E161" i="8"/>
  <c r="D161" i="8"/>
  <c r="C161" i="8"/>
  <c r="E160" i="8"/>
  <c r="E166" i="8" s="1"/>
  <c r="C160" i="8"/>
  <c r="E147" i="8"/>
  <c r="E143" i="8" s="1"/>
  <c r="E149" i="8" s="1"/>
  <c r="D147" i="8"/>
  <c r="D143" i="8" s="1"/>
  <c r="C147" i="8"/>
  <c r="C143" i="8" s="1"/>
  <c r="E145" i="8"/>
  <c r="D145" i="8"/>
  <c r="C145" i="8"/>
  <c r="E144" i="8"/>
  <c r="D144" i="8"/>
  <c r="C144" i="8"/>
  <c r="E126" i="8"/>
  <c r="D126" i="8"/>
  <c r="C126" i="8"/>
  <c r="E119" i="8"/>
  <c r="D119" i="8"/>
  <c r="C119" i="8"/>
  <c r="E108" i="8"/>
  <c r="D108" i="8"/>
  <c r="C108" i="8"/>
  <c r="C109" i="8" s="1"/>
  <c r="C106" i="8" s="1"/>
  <c r="E107" i="8"/>
  <c r="E109" i="8" s="1"/>
  <c r="E106" i="8" s="1"/>
  <c r="D107" i="8"/>
  <c r="C107" i="8"/>
  <c r="E102" i="8"/>
  <c r="E104" i="8" s="1"/>
  <c r="D102" i="8"/>
  <c r="D104" i="8" s="1"/>
  <c r="C102" i="8"/>
  <c r="C104" i="8" s="1"/>
  <c r="E100" i="8"/>
  <c r="D100" i="8"/>
  <c r="C100" i="8"/>
  <c r="E95" i="8"/>
  <c r="E94" i="8"/>
  <c r="D95" i="8"/>
  <c r="D94" i="8" s="1"/>
  <c r="C95" i="8"/>
  <c r="C94" i="8"/>
  <c r="E89" i="8"/>
  <c r="D89" i="8"/>
  <c r="C89" i="8"/>
  <c r="E87" i="8"/>
  <c r="D87" i="8"/>
  <c r="C87" i="8"/>
  <c r="E84" i="8"/>
  <c r="D84" i="8"/>
  <c r="D79" i="8" s="1"/>
  <c r="C84" i="8"/>
  <c r="E83" i="8"/>
  <c r="D83" i="8"/>
  <c r="C83" i="8"/>
  <c r="E75" i="8"/>
  <c r="E77" i="8" s="1"/>
  <c r="D75" i="8"/>
  <c r="C75" i="8"/>
  <c r="E74" i="8"/>
  <c r="D74" i="8"/>
  <c r="C74" i="8"/>
  <c r="E67" i="8"/>
  <c r="D67" i="8"/>
  <c r="C67" i="8"/>
  <c r="C57" i="8"/>
  <c r="C62" i="8" s="1"/>
  <c r="D53" i="8"/>
  <c r="E49" i="8"/>
  <c r="E38" i="8"/>
  <c r="D38" i="8"/>
  <c r="D43" i="8" s="1"/>
  <c r="C38" i="8"/>
  <c r="E33" i="8"/>
  <c r="E34" i="8"/>
  <c r="D33" i="8"/>
  <c r="D34" i="8" s="1"/>
  <c r="E26" i="8"/>
  <c r="D26" i="8"/>
  <c r="C26" i="8"/>
  <c r="E13" i="8"/>
  <c r="E15" i="8" s="1"/>
  <c r="D13" i="8"/>
  <c r="C13" i="8"/>
  <c r="F186" i="7"/>
  <c r="E186" i="7"/>
  <c r="D183" i="7"/>
  <c r="C183" i="7"/>
  <c r="F182" i="7"/>
  <c r="E182" i="7"/>
  <c r="F181" i="7"/>
  <c r="E181" i="7"/>
  <c r="F180" i="7"/>
  <c r="E180" i="7"/>
  <c r="E179" i="7"/>
  <c r="F179" i="7" s="1"/>
  <c r="F178" i="7"/>
  <c r="E178" i="7"/>
  <c r="F177" i="7"/>
  <c r="E177" i="7"/>
  <c r="E176" i="7"/>
  <c r="F176" i="7" s="1"/>
  <c r="E175" i="7"/>
  <c r="F175" i="7" s="1"/>
  <c r="F174" i="7"/>
  <c r="E174" i="7"/>
  <c r="F173" i="7"/>
  <c r="E173" i="7"/>
  <c r="F172" i="7"/>
  <c r="E172" i="7"/>
  <c r="E171" i="7"/>
  <c r="F171" i="7" s="1"/>
  <c r="E170" i="7"/>
  <c r="F170" i="7" s="1"/>
  <c r="D167" i="7"/>
  <c r="E167" i="7" s="1"/>
  <c r="C167" i="7"/>
  <c r="E166" i="7"/>
  <c r="F166" i="7" s="1"/>
  <c r="F165" i="7"/>
  <c r="E165" i="7"/>
  <c r="F164" i="7"/>
  <c r="E164" i="7"/>
  <c r="F163" i="7"/>
  <c r="E163" i="7"/>
  <c r="F162" i="7"/>
  <c r="E162" i="7"/>
  <c r="F161" i="7"/>
  <c r="E161" i="7"/>
  <c r="F160" i="7"/>
  <c r="E160" i="7"/>
  <c r="E159" i="7"/>
  <c r="F159" i="7" s="1"/>
  <c r="F158" i="7"/>
  <c r="E158" i="7"/>
  <c r="E157" i="7"/>
  <c r="F157" i="7" s="1"/>
  <c r="E156" i="7"/>
  <c r="F156" i="7" s="1"/>
  <c r="E155" i="7"/>
  <c r="F155" i="7" s="1"/>
  <c r="F154" i="7"/>
  <c r="E154" i="7"/>
  <c r="F153" i="7"/>
  <c r="E153" i="7"/>
  <c r="E152" i="7"/>
  <c r="F152" i="7" s="1"/>
  <c r="E151" i="7"/>
  <c r="F151" i="7" s="1"/>
  <c r="E150" i="7"/>
  <c r="F150" i="7" s="1"/>
  <c r="F149" i="7"/>
  <c r="E149" i="7"/>
  <c r="E148" i="7"/>
  <c r="F148" i="7" s="1"/>
  <c r="E147" i="7"/>
  <c r="F147" i="7" s="1"/>
  <c r="E146" i="7"/>
  <c r="F146" i="7" s="1"/>
  <c r="E145" i="7"/>
  <c r="F145" i="7" s="1"/>
  <c r="F144" i="7"/>
  <c r="E144" i="7"/>
  <c r="F143" i="7"/>
  <c r="E143" i="7"/>
  <c r="E142" i="7"/>
  <c r="F142" i="7" s="1"/>
  <c r="E141" i="7"/>
  <c r="F141" i="7" s="1"/>
  <c r="F140" i="7"/>
  <c r="E140" i="7"/>
  <c r="F139" i="7"/>
  <c r="E139" i="7"/>
  <c r="E138" i="7"/>
  <c r="F138" i="7" s="1"/>
  <c r="E137" i="7"/>
  <c r="F137" i="7" s="1"/>
  <c r="E136" i="7"/>
  <c r="F136" i="7" s="1"/>
  <c r="E135" i="7"/>
  <c r="F135" i="7" s="1"/>
  <c r="E134" i="7"/>
  <c r="F134" i="7" s="1"/>
  <c r="E133" i="7"/>
  <c r="F133" i="7" s="1"/>
  <c r="D130" i="7"/>
  <c r="C130" i="7"/>
  <c r="F129" i="7"/>
  <c r="E129" i="7"/>
  <c r="E128" i="7"/>
  <c r="F128" i="7" s="1"/>
  <c r="F127" i="7"/>
  <c r="E127" i="7"/>
  <c r="E126" i="7"/>
  <c r="F126" i="7" s="1"/>
  <c r="F125" i="7"/>
  <c r="E125" i="7"/>
  <c r="E124" i="7"/>
  <c r="F124" i="7" s="1"/>
  <c r="D121" i="7"/>
  <c r="E121" i="7" s="1"/>
  <c r="C121" i="7"/>
  <c r="E120" i="7"/>
  <c r="F120" i="7" s="1"/>
  <c r="E119" i="7"/>
  <c r="F119" i="7" s="1"/>
  <c r="F118" i="7"/>
  <c r="E118" i="7"/>
  <c r="E117" i="7"/>
  <c r="F117" i="7" s="1"/>
  <c r="E116" i="7"/>
  <c r="F116" i="7" s="1"/>
  <c r="E115" i="7"/>
  <c r="F115" i="7" s="1"/>
  <c r="E114" i="7"/>
  <c r="F114" i="7" s="1"/>
  <c r="E113" i="7"/>
  <c r="F113" i="7" s="1"/>
  <c r="E112" i="7"/>
  <c r="F112" i="7" s="1"/>
  <c r="E111" i="7"/>
  <c r="F111" i="7" s="1"/>
  <c r="F110" i="7"/>
  <c r="E110" i="7"/>
  <c r="E109" i="7"/>
  <c r="F109" i="7" s="1"/>
  <c r="E108" i="7"/>
  <c r="F108" i="7" s="1"/>
  <c r="E107" i="7"/>
  <c r="F107" i="7" s="1"/>
  <c r="F106" i="7"/>
  <c r="E106" i="7"/>
  <c r="E105" i="7"/>
  <c r="F105" i="7" s="1"/>
  <c r="E104" i="7"/>
  <c r="F104" i="7" s="1"/>
  <c r="E103" i="7"/>
  <c r="F103" i="7" s="1"/>
  <c r="F93" i="7"/>
  <c r="E93" i="7"/>
  <c r="D90" i="7"/>
  <c r="C90" i="7"/>
  <c r="E89" i="7"/>
  <c r="F89" i="7" s="1"/>
  <c r="E88" i="7"/>
  <c r="F88" i="7" s="1"/>
  <c r="F87" i="7"/>
  <c r="E87" i="7"/>
  <c r="F86" i="7"/>
  <c r="E86" i="7"/>
  <c r="E85" i="7"/>
  <c r="F85" i="7" s="1"/>
  <c r="E84" i="7"/>
  <c r="F84" i="7" s="1"/>
  <c r="F83" i="7"/>
  <c r="E83" i="7"/>
  <c r="F82" i="7"/>
  <c r="E82" i="7"/>
  <c r="E81" i="7"/>
  <c r="F81" i="7" s="1"/>
  <c r="E80" i="7"/>
  <c r="F80" i="7" s="1"/>
  <c r="F79" i="7"/>
  <c r="E79" i="7"/>
  <c r="F78" i="7"/>
  <c r="E78" i="7"/>
  <c r="F77" i="7"/>
  <c r="E77" i="7"/>
  <c r="E76" i="7"/>
  <c r="F76" i="7" s="1"/>
  <c r="E75" i="7"/>
  <c r="F75" i="7" s="1"/>
  <c r="F74" i="7"/>
  <c r="E74" i="7"/>
  <c r="E73" i="7"/>
  <c r="F73" i="7" s="1"/>
  <c r="F72" i="7"/>
  <c r="E72" i="7"/>
  <c r="F71" i="7"/>
  <c r="E71" i="7"/>
  <c r="E70" i="7"/>
  <c r="F70" i="7" s="1"/>
  <c r="E69" i="7"/>
  <c r="F69" i="7" s="1"/>
  <c r="E68" i="7"/>
  <c r="F68" i="7" s="1"/>
  <c r="F67" i="7"/>
  <c r="E67" i="7"/>
  <c r="F66" i="7"/>
  <c r="E66" i="7"/>
  <c r="E65" i="7"/>
  <c r="F65" i="7" s="1"/>
  <c r="E64" i="7"/>
  <c r="F64" i="7" s="1"/>
  <c r="F63" i="7"/>
  <c r="E63" i="7"/>
  <c r="F62" i="7"/>
  <c r="E62" i="7"/>
  <c r="D59" i="7"/>
  <c r="E59" i="7" s="1"/>
  <c r="C59" i="7"/>
  <c r="F58" i="7"/>
  <c r="E58" i="7"/>
  <c r="E57" i="7"/>
  <c r="F57" i="7" s="1"/>
  <c r="E56" i="7"/>
  <c r="F56" i="7" s="1"/>
  <c r="E55" i="7"/>
  <c r="F55" i="7" s="1"/>
  <c r="E54" i="7"/>
  <c r="F54" i="7" s="1"/>
  <c r="F53" i="7"/>
  <c r="E53" i="7"/>
  <c r="E50" i="7"/>
  <c r="F50" i="7" s="1"/>
  <c r="E47" i="7"/>
  <c r="F47" i="7" s="1"/>
  <c r="F44" i="7"/>
  <c r="E44" i="7"/>
  <c r="D41" i="7"/>
  <c r="C41" i="7"/>
  <c r="F40" i="7"/>
  <c r="E40" i="7"/>
  <c r="E39" i="7"/>
  <c r="F39" i="7" s="1"/>
  <c r="E38" i="7"/>
  <c r="F38" i="7" s="1"/>
  <c r="D35" i="7"/>
  <c r="E35" i="7"/>
  <c r="C35" i="7"/>
  <c r="F34" i="7"/>
  <c r="E34" i="7"/>
  <c r="F33" i="7"/>
  <c r="E33" i="7"/>
  <c r="D30" i="7"/>
  <c r="C30" i="7"/>
  <c r="F29" i="7"/>
  <c r="E29" i="7"/>
  <c r="E28" i="7"/>
  <c r="F28" i="7" s="1"/>
  <c r="E27" i="7"/>
  <c r="F27" i="7" s="1"/>
  <c r="D24" i="7"/>
  <c r="C24" i="7"/>
  <c r="E23" i="7"/>
  <c r="F23" i="7" s="1"/>
  <c r="E22" i="7"/>
  <c r="F22" i="7" s="1"/>
  <c r="E21" i="7"/>
  <c r="F21" i="7" s="1"/>
  <c r="D18" i="7"/>
  <c r="E18" i="7" s="1"/>
  <c r="F18" i="7" s="1"/>
  <c r="C18" i="7"/>
  <c r="E17" i="7"/>
  <c r="F17" i="7" s="1"/>
  <c r="E16" i="7"/>
  <c r="F16" i="7" s="1"/>
  <c r="E15" i="7"/>
  <c r="F15" i="7" s="1"/>
  <c r="D179" i="6"/>
  <c r="C179" i="6"/>
  <c r="E178" i="6"/>
  <c r="F178" i="6" s="1"/>
  <c r="F177" i="6"/>
  <c r="E177" i="6"/>
  <c r="E176" i="6"/>
  <c r="F176" i="6" s="1"/>
  <c r="E175" i="6"/>
  <c r="F175" i="6" s="1"/>
  <c r="E174" i="6"/>
  <c r="F174" i="6" s="1"/>
  <c r="F173" i="6"/>
  <c r="E173" i="6"/>
  <c r="E172" i="6"/>
  <c r="F172" i="6" s="1"/>
  <c r="F171" i="6"/>
  <c r="E171" i="6"/>
  <c r="E170" i="6"/>
  <c r="F170" i="6" s="1"/>
  <c r="E169" i="6"/>
  <c r="F169" i="6"/>
  <c r="E168" i="6"/>
  <c r="F168" i="6" s="1"/>
  <c r="D166" i="6"/>
  <c r="C166" i="6"/>
  <c r="E165" i="6"/>
  <c r="F165" i="6" s="1"/>
  <c r="F164" i="6"/>
  <c r="E164" i="6"/>
  <c r="E163" i="6"/>
  <c r="F163" i="6" s="1"/>
  <c r="E162" i="6"/>
  <c r="F162" i="6" s="1"/>
  <c r="E161" i="6"/>
  <c r="F161" i="6" s="1"/>
  <c r="F160" i="6"/>
  <c r="E160" i="6"/>
  <c r="E159" i="6"/>
  <c r="F159" i="6" s="1"/>
  <c r="F158" i="6"/>
  <c r="E158" i="6"/>
  <c r="E157" i="6"/>
  <c r="F157" i="6"/>
  <c r="E156" i="6"/>
  <c r="F156" i="6"/>
  <c r="E155" i="6"/>
  <c r="F155" i="6" s="1"/>
  <c r="D153" i="6"/>
  <c r="C153" i="6"/>
  <c r="E152" i="6"/>
  <c r="F152" i="6" s="1"/>
  <c r="F151" i="6"/>
  <c r="E151" i="6"/>
  <c r="E150" i="6"/>
  <c r="F150" i="6" s="1"/>
  <c r="E149" i="6"/>
  <c r="F149" i="6" s="1"/>
  <c r="E148" i="6"/>
  <c r="F148" i="6" s="1"/>
  <c r="F147" i="6"/>
  <c r="E147" i="6"/>
  <c r="E146" i="6"/>
  <c r="F146" i="6" s="1"/>
  <c r="F145" i="6"/>
  <c r="E145" i="6"/>
  <c r="E144" i="6"/>
  <c r="F144" i="6" s="1"/>
  <c r="E143" i="6"/>
  <c r="F143" i="6" s="1"/>
  <c r="E142" i="6"/>
  <c r="F142" i="6" s="1"/>
  <c r="D137" i="6"/>
  <c r="C137" i="6"/>
  <c r="E136" i="6"/>
  <c r="F136" i="6"/>
  <c r="F135" i="6"/>
  <c r="E135" i="6"/>
  <c r="E134" i="6"/>
  <c r="F134" i="6" s="1"/>
  <c r="E133" i="6"/>
  <c r="F133" i="6" s="1"/>
  <c r="E132" i="6"/>
  <c r="F132" i="6"/>
  <c r="F131" i="6"/>
  <c r="E131" i="6"/>
  <c r="E130" i="6"/>
  <c r="F130" i="6" s="1"/>
  <c r="F129" i="6"/>
  <c r="E129" i="6"/>
  <c r="E128" i="6"/>
  <c r="F128" i="6" s="1"/>
  <c r="E127" i="6"/>
  <c r="F127" i="6" s="1"/>
  <c r="E126" i="6"/>
  <c r="F126" i="6" s="1"/>
  <c r="D124" i="6"/>
  <c r="C124" i="6"/>
  <c r="E123" i="6"/>
  <c r="F123" i="6" s="1"/>
  <c r="F122" i="6"/>
  <c r="E122" i="6"/>
  <c r="E121" i="6"/>
  <c r="F121" i="6" s="1"/>
  <c r="E120" i="6"/>
  <c r="F120" i="6" s="1"/>
  <c r="E119" i="6"/>
  <c r="F119" i="6"/>
  <c r="F118" i="6"/>
  <c r="E118" i="6"/>
  <c r="F117" i="6"/>
  <c r="E117" i="6"/>
  <c r="F116" i="6"/>
  <c r="E116" i="6"/>
  <c r="E115" i="6"/>
  <c r="F115" i="6"/>
  <c r="E114" i="6"/>
  <c r="F114" i="6" s="1"/>
  <c r="E113" i="6"/>
  <c r="F113" i="6" s="1"/>
  <c r="D111" i="6"/>
  <c r="C111" i="6"/>
  <c r="E110" i="6"/>
  <c r="F110" i="6" s="1"/>
  <c r="F109" i="6"/>
  <c r="E109" i="6"/>
  <c r="E108" i="6"/>
  <c r="F108" i="6" s="1"/>
  <c r="E107" i="6"/>
  <c r="F107" i="6" s="1"/>
  <c r="E106" i="6"/>
  <c r="F106" i="6" s="1"/>
  <c r="F105" i="6"/>
  <c r="E105" i="6"/>
  <c r="F104" i="6"/>
  <c r="E104" i="6"/>
  <c r="F103" i="6"/>
  <c r="E103" i="6"/>
  <c r="E102" i="6"/>
  <c r="F102" i="6" s="1"/>
  <c r="E101" i="6"/>
  <c r="F101" i="6" s="1"/>
  <c r="E100" i="6"/>
  <c r="F100" i="6" s="1"/>
  <c r="D94" i="6"/>
  <c r="C94" i="6"/>
  <c r="D93" i="6"/>
  <c r="C93" i="6"/>
  <c r="D92" i="6"/>
  <c r="C92" i="6"/>
  <c r="D91" i="6"/>
  <c r="C91" i="6"/>
  <c r="D90" i="6"/>
  <c r="C90" i="6"/>
  <c r="D89" i="6"/>
  <c r="E89" i="6" s="1"/>
  <c r="C89" i="6"/>
  <c r="F89" i="6" s="1"/>
  <c r="D88" i="6"/>
  <c r="C88" i="6"/>
  <c r="D87" i="6"/>
  <c r="C87" i="6"/>
  <c r="F87" i="6"/>
  <c r="D86" i="6"/>
  <c r="C86" i="6"/>
  <c r="D85" i="6"/>
  <c r="C85" i="6"/>
  <c r="D84" i="6"/>
  <c r="C84" i="6"/>
  <c r="C95" i="6" s="1"/>
  <c r="D81" i="6"/>
  <c r="E81" i="6" s="1"/>
  <c r="C81" i="6"/>
  <c r="E80" i="6"/>
  <c r="F80" i="6" s="1"/>
  <c r="F79" i="6"/>
  <c r="E79" i="6"/>
  <c r="E78" i="6"/>
  <c r="F78" i="6"/>
  <c r="E77" i="6"/>
  <c r="F77" i="6" s="1"/>
  <c r="E76" i="6"/>
  <c r="F76" i="6" s="1"/>
  <c r="F75" i="6"/>
  <c r="E75" i="6"/>
  <c r="E74" i="6"/>
  <c r="F74" i="6"/>
  <c r="F73" i="6"/>
  <c r="E73" i="6"/>
  <c r="E72" i="6"/>
  <c r="F72" i="6" s="1"/>
  <c r="E71" i="6"/>
  <c r="F71" i="6" s="1"/>
  <c r="E70" i="6"/>
  <c r="F70" i="6" s="1"/>
  <c r="D68" i="6"/>
  <c r="C68" i="6"/>
  <c r="E67" i="6"/>
  <c r="F67" i="6" s="1"/>
  <c r="F66" i="6"/>
  <c r="E66" i="6"/>
  <c r="E65" i="6"/>
  <c r="F65" i="6" s="1"/>
  <c r="E64" i="6"/>
  <c r="F64" i="6" s="1"/>
  <c r="E63" i="6"/>
  <c r="F63" i="6" s="1"/>
  <c r="F62" i="6"/>
  <c r="E62" i="6"/>
  <c r="F61" i="6"/>
  <c r="E61" i="6"/>
  <c r="F60" i="6"/>
  <c r="E60" i="6"/>
  <c r="E59" i="6"/>
  <c r="F59" i="6" s="1"/>
  <c r="E58" i="6"/>
  <c r="F58" i="6" s="1"/>
  <c r="E57" i="6"/>
  <c r="F57" i="6" s="1"/>
  <c r="D51" i="6"/>
  <c r="C51" i="6"/>
  <c r="D50" i="6"/>
  <c r="E50" i="6" s="1"/>
  <c r="C50" i="6"/>
  <c r="F50" i="6" s="1"/>
  <c r="D49" i="6"/>
  <c r="E49" i="6" s="1"/>
  <c r="F49" i="6" s="1"/>
  <c r="C49" i="6"/>
  <c r="D48" i="6"/>
  <c r="C48" i="6"/>
  <c r="E48" i="6"/>
  <c r="F48" i="6" s="1"/>
  <c r="D47" i="6"/>
  <c r="C47" i="6"/>
  <c r="D46" i="6"/>
  <c r="C46" i="6"/>
  <c r="D45" i="6"/>
  <c r="C45" i="6"/>
  <c r="D44" i="6"/>
  <c r="C44" i="6"/>
  <c r="E44" i="6"/>
  <c r="D43" i="6"/>
  <c r="C43" i="6"/>
  <c r="D42" i="6"/>
  <c r="E42" i="6" s="1"/>
  <c r="F42" i="6" s="1"/>
  <c r="C42" i="6"/>
  <c r="D41" i="6"/>
  <c r="C41" i="6"/>
  <c r="D38" i="6"/>
  <c r="C38" i="6"/>
  <c r="E37" i="6"/>
  <c r="F37" i="6" s="1"/>
  <c r="F36" i="6"/>
  <c r="E36" i="6"/>
  <c r="E35" i="6"/>
  <c r="F35" i="6" s="1"/>
  <c r="E34" i="6"/>
  <c r="F34" i="6" s="1"/>
  <c r="E33" i="6"/>
  <c r="F33" i="6" s="1"/>
  <c r="F32" i="6"/>
  <c r="E32" i="6"/>
  <c r="E31" i="6"/>
  <c r="F31" i="6" s="1"/>
  <c r="F30" i="6"/>
  <c r="E30" i="6"/>
  <c r="E29" i="6"/>
  <c r="F29" i="6" s="1"/>
  <c r="E28" i="6"/>
  <c r="F28" i="6"/>
  <c r="E27" i="6"/>
  <c r="F27" i="6" s="1"/>
  <c r="D25" i="6"/>
  <c r="E25" i="6" s="1"/>
  <c r="F25" i="6" s="1"/>
  <c r="C25" i="6"/>
  <c r="E24" i="6"/>
  <c r="F24" i="6" s="1"/>
  <c r="F23" i="6"/>
  <c r="E23" i="6"/>
  <c r="E22" i="6"/>
  <c r="F22" i="6" s="1"/>
  <c r="E21" i="6"/>
  <c r="F21" i="6" s="1"/>
  <c r="E20" i="6"/>
  <c r="F20" i="6" s="1"/>
  <c r="F19" i="6"/>
  <c r="E19" i="6"/>
  <c r="F18" i="6"/>
  <c r="E18" i="6"/>
  <c r="F17" i="6"/>
  <c r="E17" i="6"/>
  <c r="E16" i="6"/>
  <c r="F16" i="6" s="1"/>
  <c r="E15" i="6"/>
  <c r="F15" i="6" s="1"/>
  <c r="E14" i="6"/>
  <c r="F14" i="6"/>
  <c r="E51" i="5"/>
  <c r="F51" i="5" s="1"/>
  <c r="D48" i="5"/>
  <c r="C48" i="5"/>
  <c r="F47" i="5"/>
  <c r="E47" i="5"/>
  <c r="E46" i="5"/>
  <c r="F46" i="5"/>
  <c r="D41" i="5"/>
  <c r="C41" i="5"/>
  <c r="F40" i="5"/>
  <c r="E40" i="5"/>
  <c r="E39" i="5"/>
  <c r="F39" i="5" s="1"/>
  <c r="E38" i="5"/>
  <c r="F38" i="5" s="1"/>
  <c r="D33" i="5"/>
  <c r="C33" i="5"/>
  <c r="E32" i="5"/>
  <c r="F32" i="5" s="1"/>
  <c r="E31" i="5"/>
  <c r="F31" i="5" s="1"/>
  <c r="E30" i="5"/>
  <c r="F30" i="5" s="1"/>
  <c r="F29" i="5"/>
  <c r="E29" i="5"/>
  <c r="E28" i="5"/>
  <c r="F28" i="5" s="1"/>
  <c r="E27" i="5"/>
  <c r="F27" i="5" s="1"/>
  <c r="E26" i="5"/>
  <c r="F26" i="5" s="1"/>
  <c r="E25" i="5"/>
  <c r="F25" i="5" s="1"/>
  <c r="E24" i="5"/>
  <c r="F24" i="5" s="1"/>
  <c r="F20" i="5"/>
  <c r="E20" i="5"/>
  <c r="E19" i="5"/>
  <c r="F19" i="5" s="1"/>
  <c r="E17" i="5"/>
  <c r="F17" i="5" s="1"/>
  <c r="D16" i="5"/>
  <c r="D18" i="5" s="1"/>
  <c r="D21" i="5" s="1"/>
  <c r="D35" i="5" s="1"/>
  <c r="D43" i="5" s="1"/>
  <c r="D50" i="5" s="1"/>
  <c r="C16" i="5"/>
  <c r="E15" i="5"/>
  <c r="F15" i="5" s="1"/>
  <c r="E14" i="5"/>
  <c r="F14" i="5" s="1"/>
  <c r="E13" i="5"/>
  <c r="F13" i="5"/>
  <c r="E12" i="5"/>
  <c r="F12" i="5"/>
  <c r="D73" i="4"/>
  <c r="E73" i="4" s="1"/>
  <c r="C73" i="4"/>
  <c r="E72" i="4"/>
  <c r="F72" i="4" s="1"/>
  <c r="E71" i="4"/>
  <c r="F71" i="4" s="1"/>
  <c r="E70" i="4"/>
  <c r="F70" i="4" s="1"/>
  <c r="F67" i="4"/>
  <c r="E67" i="4"/>
  <c r="E64" i="4"/>
  <c r="F64" i="4" s="1"/>
  <c r="E63" i="4"/>
  <c r="F63" i="4" s="1"/>
  <c r="D61" i="4"/>
  <c r="D65" i="4"/>
  <c r="C61" i="4"/>
  <c r="C65" i="4" s="1"/>
  <c r="E60" i="4"/>
  <c r="F60" i="4" s="1"/>
  <c r="F59" i="4"/>
  <c r="E59" i="4"/>
  <c r="D56" i="4"/>
  <c r="C56" i="4"/>
  <c r="E55" i="4"/>
  <c r="F55" i="4" s="1"/>
  <c r="F54" i="4"/>
  <c r="E54" i="4"/>
  <c r="F53" i="4"/>
  <c r="E53" i="4"/>
  <c r="E52" i="4"/>
  <c r="F52" i="4" s="1"/>
  <c r="E51" i="4"/>
  <c r="F51" i="4" s="1"/>
  <c r="E50" i="4"/>
  <c r="F50" i="4" s="1"/>
  <c r="A50" i="4"/>
  <c r="A51" i="4" s="1"/>
  <c r="A52" i="4" s="1"/>
  <c r="A53" i="4" s="1"/>
  <c r="A54" i="4" s="1"/>
  <c r="A55" i="4" s="1"/>
  <c r="E49" i="4"/>
  <c r="F49" i="4" s="1"/>
  <c r="F40" i="4"/>
  <c r="E40" i="4"/>
  <c r="D38" i="4"/>
  <c r="D41" i="4" s="1"/>
  <c r="C38" i="4"/>
  <c r="F37" i="4"/>
  <c r="E37" i="4"/>
  <c r="E36" i="4"/>
  <c r="F36" i="4" s="1"/>
  <c r="E33" i="4"/>
  <c r="F33" i="4" s="1"/>
  <c r="E32" i="4"/>
  <c r="F32" i="4" s="1"/>
  <c r="E31" i="4"/>
  <c r="F31" i="4" s="1"/>
  <c r="D29" i="4"/>
  <c r="E29" i="4" s="1"/>
  <c r="C29" i="4"/>
  <c r="E28" i="4"/>
  <c r="F28" i="4" s="1"/>
  <c r="F27" i="4"/>
  <c r="E27" i="4"/>
  <c r="F26" i="4"/>
  <c r="E26" i="4"/>
  <c r="F25" i="4"/>
  <c r="E25" i="4"/>
  <c r="D22" i="4"/>
  <c r="C22" i="4"/>
  <c r="E21" i="4"/>
  <c r="F21" i="4" s="1"/>
  <c r="E20" i="4"/>
  <c r="F20" i="4" s="1"/>
  <c r="E19" i="4"/>
  <c r="F19" i="4" s="1"/>
  <c r="F18" i="4"/>
  <c r="E18" i="4"/>
  <c r="F17" i="4"/>
  <c r="E17" i="4"/>
  <c r="F16" i="4"/>
  <c r="E16" i="4"/>
  <c r="E15" i="4"/>
  <c r="F15" i="4" s="1"/>
  <c r="E14" i="4"/>
  <c r="F14" i="4" s="1"/>
  <c r="E13" i="4"/>
  <c r="F13" i="4" s="1"/>
  <c r="D108" i="22"/>
  <c r="D109" i="22"/>
  <c r="D22" i="22"/>
  <c r="C23" i="22"/>
  <c r="C46" i="22" s="1"/>
  <c r="C34" i="22"/>
  <c r="E102" i="22"/>
  <c r="C22" i="22"/>
  <c r="E39" i="20"/>
  <c r="F39" i="20" s="1"/>
  <c r="E19" i="20"/>
  <c r="F19" i="20" s="1"/>
  <c r="C38" i="19"/>
  <c r="C127" i="19" s="1"/>
  <c r="C129" i="19" s="1"/>
  <c r="C133" i="19" s="1"/>
  <c r="C22" i="19"/>
  <c r="E164" i="17"/>
  <c r="F164" i="17"/>
  <c r="E170" i="17"/>
  <c r="F170" i="17" s="1"/>
  <c r="E180" i="17"/>
  <c r="D55" i="18"/>
  <c r="E54" i="18"/>
  <c r="D289" i="18"/>
  <c r="D71" i="18"/>
  <c r="D65" i="18"/>
  <c r="C283" i="18"/>
  <c r="C22" i="18"/>
  <c r="C284" i="18" s="1"/>
  <c r="E229" i="17"/>
  <c r="E230" i="17"/>
  <c r="E238" i="17"/>
  <c r="E298" i="17"/>
  <c r="E299" i="17"/>
  <c r="D283" i="18"/>
  <c r="E283" i="18" s="1"/>
  <c r="D144" i="18"/>
  <c r="C156" i="18"/>
  <c r="C157" i="18" s="1"/>
  <c r="D175" i="18"/>
  <c r="C242" i="18"/>
  <c r="E218" i="18"/>
  <c r="D243" i="18"/>
  <c r="E244" i="18"/>
  <c r="E231" i="18"/>
  <c r="C261" i="18"/>
  <c r="E261" i="18" s="1"/>
  <c r="C189" i="18"/>
  <c r="E189" i="18" s="1"/>
  <c r="D260" i="18"/>
  <c r="E195" i="18"/>
  <c r="D241" i="18"/>
  <c r="E242" i="18"/>
  <c r="E220" i="18"/>
  <c r="D245" i="18"/>
  <c r="E245" i="18" s="1"/>
  <c r="E221" i="18"/>
  <c r="E233" i="18"/>
  <c r="D320" i="18"/>
  <c r="E320" i="18"/>
  <c r="E316" i="18"/>
  <c r="D330" i="18"/>
  <c r="D222" i="18"/>
  <c r="D246" i="18" s="1"/>
  <c r="E265" i="18"/>
  <c r="E314" i="18"/>
  <c r="E324" i="18"/>
  <c r="C207" i="17"/>
  <c r="C138" i="17"/>
  <c r="C103" i="17"/>
  <c r="C173" i="17"/>
  <c r="E20" i="17"/>
  <c r="F20" i="17" s="1"/>
  <c r="C21" i="17"/>
  <c r="E24" i="17"/>
  <c r="F24" i="17" s="1"/>
  <c r="E30" i="17"/>
  <c r="F30" i="17" s="1"/>
  <c r="C31" i="17"/>
  <c r="E35" i="17"/>
  <c r="F35" i="17" s="1"/>
  <c r="E44" i="17"/>
  <c r="F44" i="17" s="1"/>
  <c r="E47" i="17"/>
  <c r="F47" i="17" s="1"/>
  <c r="C48" i="17"/>
  <c r="E52" i="17"/>
  <c r="F52" i="17"/>
  <c r="E58" i="17"/>
  <c r="F58" i="17" s="1"/>
  <c r="C60" i="17"/>
  <c r="E66" i="17"/>
  <c r="F66" i="17" s="1"/>
  <c r="E67" i="17"/>
  <c r="F67" i="17" s="1"/>
  <c r="C68" i="17"/>
  <c r="E76" i="17"/>
  <c r="F76" i="17"/>
  <c r="D89" i="17"/>
  <c r="D102" i="17"/>
  <c r="D124" i="17"/>
  <c r="F135" i="17"/>
  <c r="F180" i="17"/>
  <c r="D277" i="17"/>
  <c r="D261" i="17"/>
  <c r="D214" i="17"/>
  <c r="D254" i="17" s="1"/>
  <c r="E254" i="17" s="1"/>
  <c r="F254" i="17" s="1"/>
  <c r="E191" i="17"/>
  <c r="F191" i="17" s="1"/>
  <c r="D21" i="17"/>
  <c r="C124" i="17"/>
  <c r="E136" i="17"/>
  <c r="F136" i="17" s="1"/>
  <c r="E144" i="17"/>
  <c r="F144" i="17" s="1"/>
  <c r="E179" i="17"/>
  <c r="F179" i="17"/>
  <c r="C277" i="17"/>
  <c r="C261" i="17"/>
  <c r="C254" i="17"/>
  <c r="C214" i="17"/>
  <c r="C304" i="17" s="1"/>
  <c r="C206" i="17"/>
  <c r="E188" i="17"/>
  <c r="F188" i="17" s="1"/>
  <c r="C278" i="17"/>
  <c r="C262" i="17"/>
  <c r="C272" i="17" s="1"/>
  <c r="C255" i="17"/>
  <c r="C215" i="17"/>
  <c r="C290" i="17"/>
  <c r="C274" i="17"/>
  <c r="C199" i="17"/>
  <c r="E198" i="17"/>
  <c r="F198" i="17" s="1"/>
  <c r="D290" i="17"/>
  <c r="E290" i="17" s="1"/>
  <c r="F290" i="17" s="1"/>
  <c r="D274" i="17"/>
  <c r="D200" i="17"/>
  <c r="D285" i="17"/>
  <c r="D269" i="17"/>
  <c r="D215" i="17"/>
  <c r="F223" i="17"/>
  <c r="F226" i="17"/>
  <c r="F229" i="17"/>
  <c r="F230" i="17"/>
  <c r="F238" i="17"/>
  <c r="D264" i="17"/>
  <c r="E295" i="17"/>
  <c r="F295" i="17" s="1"/>
  <c r="E204" i="17"/>
  <c r="F204" i="17"/>
  <c r="C205" i="17"/>
  <c r="E237" i="17"/>
  <c r="F237" i="17" s="1"/>
  <c r="E250" i="17"/>
  <c r="F250" i="17" s="1"/>
  <c r="C267" i="17"/>
  <c r="C269" i="17"/>
  <c r="E296" i="17"/>
  <c r="F296" i="17" s="1"/>
  <c r="F298" i="17"/>
  <c r="F299" i="17"/>
  <c r="I17" i="14"/>
  <c r="D31" i="14"/>
  <c r="H17" i="14"/>
  <c r="D21" i="13"/>
  <c r="D15" i="13"/>
  <c r="E17" i="13"/>
  <c r="E28" i="13" s="1"/>
  <c r="E70" i="13" s="1"/>
  <c r="E72" i="13" s="1"/>
  <c r="E69" i="13" s="1"/>
  <c r="D48" i="13"/>
  <c r="D20" i="12"/>
  <c r="E15" i="12"/>
  <c r="F15" i="12"/>
  <c r="C17" i="12"/>
  <c r="E38" i="11"/>
  <c r="F38" i="11"/>
  <c r="E56" i="11"/>
  <c r="F56" i="11" s="1"/>
  <c r="D121" i="10"/>
  <c r="E113" i="10"/>
  <c r="E208" i="9"/>
  <c r="F208" i="9" s="1"/>
  <c r="E198" i="9"/>
  <c r="F198" i="9" s="1"/>
  <c r="E199" i="9"/>
  <c r="F199" i="9" s="1"/>
  <c r="D25" i="8"/>
  <c r="D27" i="8" s="1"/>
  <c r="D15" i="8"/>
  <c r="C53" i="8"/>
  <c r="C43" i="8"/>
  <c r="E53" i="8"/>
  <c r="E43" i="8"/>
  <c r="C49" i="8"/>
  <c r="E57" i="8"/>
  <c r="E62" i="8" s="1"/>
  <c r="D109" i="8"/>
  <c r="D106" i="8" s="1"/>
  <c r="E156" i="8"/>
  <c r="E154" i="8"/>
  <c r="E152" i="8"/>
  <c r="E157" i="8"/>
  <c r="E155" i="8"/>
  <c r="E153" i="8"/>
  <c r="D49" i="8"/>
  <c r="E183" i="7"/>
  <c r="F183" i="7" s="1"/>
  <c r="F44" i="6"/>
  <c r="F46" i="6"/>
  <c r="E85" i="6"/>
  <c r="F85" i="6" s="1"/>
  <c r="E87" i="6"/>
  <c r="E91" i="6"/>
  <c r="F91" i="6" s="1"/>
  <c r="E137" i="6"/>
  <c r="F137" i="6" s="1"/>
  <c r="E166" i="6"/>
  <c r="F166" i="6" s="1"/>
  <c r="E51" i="6"/>
  <c r="F51" i="6" s="1"/>
  <c r="F68" i="6"/>
  <c r="E68" i="6"/>
  <c r="E84" i="6"/>
  <c r="F84" i="6" s="1"/>
  <c r="E88" i="6"/>
  <c r="F88" i="6" s="1"/>
  <c r="F92" i="6"/>
  <c r="E92" i="6"/>
  <c r="E111" i="6"/>
  <c r="F111" i="6" s="1"/>
  <c r="F153" i="6"/>
  <c r="E153" i="6"/>
  <c r="E179" i="6"/>
  <c r="F179" i="6" s="1"/>
  <c r="E41" i="5"/>
  <c r="F41" i="5" s="1"/>
  <c r="E48" i="5"/>
  <c r="F48" i="5" s="1"/>
  <c r="E61" i="4"/>
  <c r="F61" i="4" s="1"/>
  <c r="C54" i="22"/>
  <c r="C40" i="22"/>
  <c r="C36" i="22"/>
  <c r="C30" i="22"/>
  <c r="C45" i="22"/>
  <c r="D110" i="22"/>
  <c r="D53" i="22"/>
  <c r="D45" i="22"/>
  <c r="D39" i="22"/>
  <c r="D35" i="22"/>
  <c r="D29" i="22"/>
  <c r="D66" i="18"/>
  <c r="E260" i="18"/>
  <c r="D253" i="18"/>
  <c r="D76" i="18"/>
  <c r="D252" i="18"/>
  <c r="D254" i="18" s="1"/>
  <c r="D145" i="18"/>
  <c r="D168" i="18"/>
  <c r="D300" i="17"/>
  <c r="C287" i="17"/>
  <c r="C291" i="17" s="1"/>
  <c r="C305" i="17" s="1"/>
  <c r="C309" i="17" s="1"/>
  <c r="C284" i="17"/>
  <c r="C279" i="17"/>
  <c r="D255" i="17"/>
  <c r="E255" i="17" s="1"/>
  <c r="F255" i="17" s="1"/>
  <c r="E274" i="17"/>
  <c r="F274" i="17" s="1"/>
  <c r="C271" i="17"/>
  <c r="C268" i="17"/>
  <c r="E21" i="17"/>
  <c r="F21" i="17" s="1"/>
  <c r="E277" i="17"/>
  <c r="F277" i="17" s="1"/>
  <c r="E102" i="17"/>
  <c r="F102" i="17" s="1"/>
  <c r="D103" i="17"/>
  <c r="E103" i="17" s="1"/>
  <c r="F103" i="17" s="1"/>
  <c r="C61" i="17"/>
  <c r="C32" i="17"/>
  <c r="C210" i="17" s="1"/>
  <c r="C270" i="17"/>
  <c r="C288" i="17"/>
  <c r="E261" i="17"/>
  <c r="F261" i="17" s="1"/>
  <c r="C125" i="17"/>
  <c r="C90" i="17"/>
  <c r="C126" i="17"/>
  <c r="C127" i="17" s="1"/>
  <c r="C91" i="17"/>
  <c r="C49" i="17"/>
  <c r="C50" i="17" s="1"/>
  <c r="D125" i="17"/>
  <c r="E125" i="17" s="1"/>
  <c r="F125" i="17" s="1"/>
  <c r="C208" i="17"/>
  <c r="D24" i="13"/>
  <c r="D20" i="13" s="1"/>
  <c r="D17" i="13"/>
  <c r="D28" i="13"/>
  <c r="D70" i="13" s="1"/>
  <c r="D72" i="13" s="1"/>
  <c r="D69" i="13" s="1"/>
  <c r="D34" i="12"/>
  <c r="C20" i="12"/>
  <c r="C34" i="12" s="1"/>
  <c r="C42" i="12" s="1"/>
  <c r="E17" i="12"/>
  <c r="F17" i="12" s="1"/>
  <c r="D24" i="8"/>
  <c r="D17" i="8"/>
  <c r="D20" i="8"/>
  <c r="D21" i="8"/>
  <c r="D112" i="22"/>
  <c r="D55" i="22"/>
  <c r="D47" i="22"/>
  <c r="D37" i="22"/>
  <c r="C113" i="22"/>
  <c r="C56" i="22"/>
  <c r="C48" i="22"/>
  <c r="C38" i="22"/>
  <c r="D77" i="18"/>
  <c r="D127" i="18" s="1"/>
  <c r="C105" i="17"/>
  <c r="C106" i="17" s="1"/>
  <c r="C62" i="17"/>
  <c r="C63" i="17" s="1"/>
  <c r="C209" i="17"/>
  <c r="C174" i="17"/>
  <c r="C139" i="17"/>
  <c r="C104" i="17"/>
  <c r="C92" i="17"/>
  <c r="C289" i="17"/>
  <c r="D42" i="12"/>
  <c r="E20" i="12"/>
  <c r="D112" i="8"/>
  <c r="D111" i="8" s="1"/>
  <c r="D28" i="8"/>
  <c r="D99" i="8" s="1"/>
  <c r="D101" i="8" s="1"/>
  <c r="D98" i="8" s="1"/>
  <c r="D121" i="18"/>
  <c r="D114" i="18"/>
  <c r="D112" i="18"/>
  <c r="D122" i="18"/>
  <c r="D115" i="18"/>
  <c r="D113" i="18"/>
  <c r="D22" i="8"/>
  <c r="D105" i="17" l="1"/>
  <c r="E32" i="17"/>
  <c r="F32" i="17" s="1"/>
  <c r="C324" i="17"/>
  <c r="D49" i="12"/>
  <c r="C280" i="17"/>
  <c r="C264" i="17"/>
  <c r="C300" i="17" s="1"/>
  <c r="E300" i="17" s="1"/>
  <c r="F300" i="17" s="1"/>
  <c r="C200" i="17"/>
  <c r="C286" i="17"/>
  <c r="F53" i="17"/>
  <c r="C144" i="18"/>
  <c r="E139" i="18"/>
  <c r="D123" i="18"/>
  <c r="D128" i="18" s="1"/>
  <c r="C140" i="17"/>
  <c r="C141" i="17" s="1"/>
  <c r="D61" i="17"/>
  <c r="E33" i="5"/>
  <c r="E30" i="7"/>
  <c r="F30" i="7" s="1"/>
  <c r="E90" i="7"/>
  <c r="F90" i="7" s="1"/>
  <c r="D88" i="8"/>
  <c r="D90" i="8" s="1"/>
  <c r="D86" i="8" s="1"/>
  <c r="D77" i="8"/>
  <c r="D71" i="8" s="1"/>
  <c r="E96" i="10"/>
  <c r="E53" i="17"/>
  <c r="E36" i="18"/>
  <c r="C44" i="18"/>
  <c r="C97" i="18" s="1"/>
  <c r="E73" i="18"/>
  <c r="D223" i="18"/>
  <c r="D247" i="18" s="1"/>
  <c r="D239" i="18"/>
  <c r="E239" i="18" s="1"/>
  <c r="E215" i="18"/>
  <c r="E302" i="18"/>
  <c r="C101" i="22"/>
  <c r="C103" i="22" s="1"/>
  <c r="C102" i="22"/>
  <c r="C88" i="8"/>
  <c r="C90" i="8" s="1"/>
  <c r="C86" i="8" s="1"/>
  <c r="C77" i="8"/>
  <c r="C71" i="8" s="1"/>
  <c r="E158" i="17"/>
  <c r="F158" i="17"/>
  <c r="C192" i="17"/>
  <c r="E219" i="18"/>
  <c r="C217" i="18"/>
  <c r="D124" i="18"/>
  <c r="D125" i="18"/>
  <c r="C175" i="17"/>
  <c r="D294" i="18"/>
  <c r="D33" i="18"/>
  <c r="D166" i="8"/>
  <c r="E84" i="10"/>
  <c r="C210" i="18"/>
  <c r="E205" i="18"/>
  <c r="C229" i="18"/>
  <c r="C109" i="22"/>
  <c r="C108" i="22"/>
  <c r="C111" i="22"/>
  <c r="D75" i="4"/>
  <c r="E75" i="4" s="1"/>
  <c r="F75" i="4" s="1"/>
  <c r="E56" i="4"/>
  <c r="F56" i="4" s="1"/>
  <c r="E138" i="8"/>
  <c r="E140" i="8"/>
  <c r="E136" i="8"/>
  <c r="E139" i="8"/>
  <c r="F115" i="9"/>
  <c r="D109" i="18"/>
  <c r="D111" i="18"/>
  <c r="D126" i="18"/>
  <c r="C263" i="17"/>
  <c r="E124" i="6"/>
  <c r="F124" i="6" s="1"/>
  <c r="E135" i="8"/>
  <c r="F17" i="17"/>
  <c r="F59" i="7"/>
  <c r="E200" i="9"/>
  <c r="F200" i="9" s="1"/>
  <c r="D61" i="13"/>
  <c r="D57" i="13" s="1"/>
  <c r="E36" i="17"/>
  <c r="F36" i="17" s="1"/>
  <c r="C37" i="17"/>
  <c r="E137" i="17"/>
  <c r="F137" i="17" s="1"/>
  <c r="D138" i="17"/>
  <c r="E138" i="17" s="1"/>
  <c r="F138" i="17" s="1"/>
  <c r="E294" i="17"/>
  <c r="F294" i="17" s="1"/>
  <c r="E311" i="17"/>
  <c r="E69" i="18"/>
  <c r="C46" i="20"/>
  <c r="E43" i="20"/>
  <c r="E22" i="22"/>
  <c r="E23" i="22"/>
  <c r="E30" i="22" s="1"/>
  <c r="E34" i="22"/>
  <c r="F33" i="5"/>
  <c r="D110" i="18"/>
  <c r="F20" i="12"/>
  <c r="E137" i="8"/>
  <c r="C53" i="22"/>
  <c r="C39" i="22"/>
  <c r="C35" i="22"/>
  <c r="C29" i="22"/>
  <c r="F90" i="6"/>
  <c r="E24" i="8"/>
  <c r="E17" i="8"/>
  <c r="D149" i="8"/>
  <c r="F207" i="9"/>
  <c r="E110" i="17"/>
  <c r="D111" i="17"/>
  <c r="E111" i="17" s="1"/>
  <c r="F111" i="17" s="1"/>
  <c r="D192" i="17"/>
  <c r="E123" i="17"/>
  <c r="F123" i="17" s="1"/>
  <c r="C65" i="18"/>
  <c r="C71" i="18"/>
  <c r="E60" i="18"/>
  <c r="D216" i="17"/>
  <c r="C273" i="17"/>
  <c r="F81" i="6"/>
  <c r="E90" i="6"/>
  <c r="E94" i="6"/>
  <c r="F94" i="6" s="1"/>
  <c r="E25" i="8"/>
  <c r="E27" i="8" s="1"/>
  <c r="E140" i="9"/>
  <c r="F140" i="9" s="1"/>
  <c r="E60" i="10"/>
  <c r="E33" i="14"/>
  <c r="E36" i="14" s="1"/>
  <c r="E38" i="14" s="1"/>
  <c r="E40" i="14" s="1"/>
  <c r="E31" i="14"/>
  <c r="D227" i="17"/>
  <c r="E227" i="17" s="1"/>
  <c r="E226" i="17"/>
  <c r="C43" i="18"/>
  <c r="D43" i="18"/>
  <c r="E41" i="18"/>
  <c r="E173" i="18"/>
  <c r="E109" i="22"/>
  <c r="E108" i="22"/>
  <c r="C113" i="17"/>
  <c r="E31" i="17"/>
  <c r="F31" i="17" s="1"/>
  <c r="E207" i="9"/>
  <c r="C65" i="11"/>
  <c r="E61" i="11"/>
  <c r="F61" i="11" s="1"/>
  <c r="F33" i="14"/>
  <c r="F36" i="14" s="1"/>
  <c r="F38" i="14" s="1"/>
  <c r="F40" i="14" s="1"/>
  <c r="F31" i="14"/>
  <c r="H31" i="14" s="1"/>
  <c r="D172" i="17"/>
  <c r="E171" i="17"/>
  <c r="F171" i="17" s="1"/>
  <c r="D278" i="17"/>
  <c r="D190" i="17"/>
  <c r="E190" i="17" s="1"/>
  <c r="F190" i="17" s="1"/>
  <c r="E189" i="17"/>
  <c r="F189" i="17" s="1"/>
  <c r="D199" i="17"/>
  <c r="E199" i="17" s="1"/>
  <c r="F199" i="17" s="1"/>
  <c r="D262" i="17"/>
  <c r="D206" i="17"/>
  <c r="E206" i="17" s="1"/>
  <c r="F206" i="17" s="1"/>
  <c r="D283" i="17"/>
  <c r="D267" i="17"/>
  <c r="E203" i="17"/>
  <c r="F203" i="17" s="1"/>
  <c r="D205" i="17"/>
  <c r="E205" i="17" s="1"/>
  <c r="F205" i="17" s="1"/>
  <c r="E38" i="18"/>
  <c r="D157" i="18"/>
  <c r="D169" i="18" s="1"/>
  <c r="E156" i="18"/>
  <c r="E281" i="18"/>
  <c r="C303" i="18"/>
  <c r="C306" i="18" s="1"/>
  <c r="C310" i="18" s="1"/>
  <c r="E301" i="18"/>
  <c r="C49" i="19"/>
  <c r="E24" i="7"/>
  <c r="F24" i="7" s="1"/>
  <c r="F121" i="7"/>
  <c r="E71" i="8"/>
  <c r="C149" i="8"/>
  <c r="C139" i="8" s="1"/>
  <c r="E154" i="9"/>
  <c r="E167" i="9"/>
  <c r="F204" i="9"/>
  <c r="C122" i="10"/>
  <c r="F122" i="10" s="1"/>
  <c r="E29" i="11"/>
  <c r="C61" i="13"/>
  <c r="C57" i="13" s="1"/>
  <c r="I31" i="14"/>
  <c r="E16" i="15"/>
  <c r="F16" i="15" s="1"/>
  <c r="E23" i="15"/>
  <c r="F23" i="15" s="1"/>
  <c r="E107" i="15"/>
  <c r="F107" i="15" s="1"/>
  <c r="E151" i="18"/>
  <c r="E161" i="18"/>
  <c r="D303" i="18"/>
  <c r="E16" i="20"/>
  <c r="E36" i="20"/>
  <c r="F36" i="20" s="1"/>
  <c r="D46" i="20"/>
  <c r="F19" i="21"/>
  <c r="D102" i="22"/>
  <c r="D103" i="22" s="1"/>
  <c r="D95" i="7"/>
  <c r="F141" i="9"/>
  <c r="F201" i="9"/>
  <c r="E41" i="11"/>
  <c r="F41" i="11" s="1"/>
  <c r="E77" i="17"/>
  <c r="F95" i="17"/>
  <c r="E101" i="17"/>
  <c r="F101" i="17" s="1"/>
  <c r="D146" i="17"/>
  <c r="E146" i="17" s="1"/>
  <c r="F146" i="17" s="1"/>
  <c r="C181" i="17"/>
  <c r="E181" i="17" s="1"/>
  <c r="F181" i="17" s="1"/>
  <c r="D239" i="17"/>
  <c r="E278" i="18"/>
  <c r="E101" i="22"/>
  <c r="E103" i="22" s="1"/>
  <c r="D42" i="13"/>
  <c r="E45" i="6"/>
  <c r="F45" i="6" s="1"/>
  <c r="D57" i="8"/>
  <c r="D62" i="8" s="1"/>
  <c r="C79" i="8"/>
  <c r="E35" i="10"/>
  <c r="D122" i="10"/>
  <c r="E50" i="13"/>
  <c r="F22" i="16"/>
  <c r="E120" i="17"/>
  <c r="F120" i="17" s="1"/>
  <c r="C239" i="17"/>
  <c r="C65" i="19"/>
  <c r="C114" i="19" s="1"/>
  <c r="C116" i="19" s="1"/>
  <c r="C119" i="19" s="1"/>
  <c r="C123" i="19" s="1"/>
  <c r="F21" i="21"/>
  <c r="C88" i="22"/>
  <c r="E285" i="17"/>
  <c r="F285" i="17" s="1"/>
  <c r="C75" i="4"/>
  <c r="E88" i="9"/>
  <c r="E192" i="9"/>
  <c r="F202" i="9"/>
  <c r="C121" i="10"/>
  <c r="F121" i="10" s="1"/>
  <c r="E27" i="13"/>
  <c r="E22" i="13" s="1"/>
  <c r="E42" i="13"/>
  <c r="D68" i="17"/>
  <c r="E109" i="17"/>
  <c r="D88" i="22"/>
  <c r="E93" i="22"/>
  <c r="E215" i="17"/>
  <c r="F215" i="17" s="1"/>
  <c r="E65" i="4"/>
  <c r="F65" i="4" s="1"/>
  <c r="E46" i="6"/>
  <c r="E130" i="7"/>
  <c r="E79" i="8"/>
  <c r="C166" i="8"/>
  <c r="E37" i="9"/>
  <c r="F62" i="9"/>
  <c r="E89" i="9"/>
  <c r="F114" i="9"/>
  <c r="E166" i="9"/>
  <c r="E179" i="9"/>
  <c r="E193" i="9"/>
  <c r="E83" i="10"/>
  <c r="E75" i="15"/>
  <c r="E21" i="18"/>
  <c r="E40" i="18"/>
  <c r="E75" i="18"/>
  <c r="E164" i="18"/>
  <c r="E179" i="18"/>
  <c r="E251" i="18"/>
  <c r="E292" i="18"/>
  <c r="E45" i="20"/>
  <c r="F45" i="20" s="1"/>
  <c r="E158" i="8"/>
  <c r="E68" i="17"/>
  <c r="F68" i="17" s="1"/>
  <c r="E289" i="18"/>
  <c r="F29" i="4"/>
  <c r="F73" i="4"/>
  <c r="E38" i="6"/>
  <c r="F38" i="6" s="1"/>
  <c r="E47" i="6"/>
  <c r="F47" i="6" s="1"/>
  <c r="F17" i="16"/>
  <c r="F85" i="17"/>
  <c r="E100" i="17"/>
  <c r="F100" i="17" s="1"/>
  <c r="E130" i="17"/>
  <c r="F130" i="17" s="1"/>
  <c r="D22" i="18"/>
  <c r="E22" i="18" s="1"/>
  <c r="E72" i="18"/>
  <c r="E262" i="18"/>
  <c r="E280" i="18"/>
  <c r="C148" i="17"/>
  <c r="E42" i="12"/>
  <c r="F42" i="12" s="1"/>
  <c r="C49" i="12"/>
  <c r="C310" i="17"/>
  <c r="C70" i="17"/>
  <c r="C322" i="17"/>
  <c r="E40" i="20"/>
  <c r="D41" i="20"/>
  <c r="D22" i="13"/>
  <c r="F167" i="7"/>
  <c r="C138" i="8"/>
  <c r="C136" i="8"/>
  <c r="C137" i="8"/>
  <c r="C135" i="8"/>
  <c r="C140" i="8"/>
  <c r="D161" i="17"/>
  <c r="E229" i="18"/>
  <c r="C240" i="18"/>
  <c r="E240" i="18" s="1"/>
  <c r="E216" i="18"/>
  <c r="C222" i="18"/>
  <c r="E222" i="18" s="1"/>
  <c r="E124" i="17"/>
  <c r="F124" i="17" s="1"/>
  <c r="D126" i="17"/>
  <c r="D62" i="17"/>
  <c r="D49" i="17"/>
  <c r="D160" i="17"/>
  <c r="D90" i="17"/>
  <c r="E90" i="17" s="1"/>
  <c r="F90" i="17" s="1"/>
  <c r="E48" i="17"/>
  <c r="F48" i="17" s="1"/>
  <c r="C41" i="4"/>
  <c r="E38" i="4"/>
  <c r="F38" i="4" s="1"/>
  <c r="E214" i="17"/>
  <c r="F214" i="17" s="1"/>
  <c r="C216" i="17"/>
  <c r="E200" i="17"/>
  <c r="F200" i="17" s="1"/>
  <c r="D287" i="17"/>
  <c r="D284" i="17"/>
  <c r="E284" i="17" s="1"/>
  <c r="F284" i="17" s="1"/>
  <c r="F60" i="17"/>
  <c r="E36" i="22"/>
  <c r="C43" i="4"/>
  <c r="F130" i="7"/>
  <c r="C330" i="18"/>
  <c r="E330" i="18" s="1"/>
  <c r="E326" i="18"/>
  <c r="E269" i="17"/>
  <c r="F269" i="17" s="1"/>
  <c r="D272" i="17"/>
  <c r="E272" i="17" s="1"/>
  <c r="F272" i="17" s="1"/>
  <c r="D270" i="17"/>
  <c r="E270" i="17" s="1"/>
  <c r="F270" i="17" s="1"/>
  <c r="E264" i="17"/>
  <c r="F264" i="17" s="1"/>
  <c r="D43" i="4"/>
  <c r="E22" i="4"/>
  <c r="F22" i="4" s="1"/>
  <c r="F93" i="6"/>
  <c r="E93" i="6"/>
  <c r="C25" i="8"/>
  <c r="C27" i="8" s="1"/>
  <c r="C15" i="8"/>
  <c r="E49" i="9"/>
  <c r="F49" i="9"/>
  <c r="E101" i="9"/>
  <c r="F101" i="9" s="1"/>
  <c r="E20" i="13"/>
  <c r="E21" i="13"/>
  <c r="E41" i="7"/>
  <c r="F41" i="7" s="1"/>
  <c r="E89" i="17"/>
  <c r="F89" i="17" s="1"/>
  <c r="D91" i="17"/>
  <c r="C241" i="18"/>
  <c r="E241" i="18" s="1"/>
  <c r="E217" i="18"/>
  <c r="E55" i="18"/>
  <c r="D284" i="18"/>
  <c r="E284" i="18" s="1"/>
  <c r="E53" i="22"/>
  <c r="E45" i="22"/>
  <c r="E39" i="22"/>
  <c r="E35" i="22"/>
  <c r="E29" i="22"/>
  <c r="E110" i="22"/>
  <c r="E16" i="5"/>
  <c r="F16" i="5" s="1"/>
  <c r="C18" i="5"/>
  <c r="E43" i="6"/>
  <c r="F43" i="6" s="1"/>
  <c r="D52" i="6"/>
  <c r="C52" i="6"/>
  <c r="E41" i="6"/>
  <c r="F41" i="6" s="1"/>
  <c r="E34" i="12"/>
  <c r="F34" i="12" s="1"/>
  <c r="E86" i="6"/>
  <c r="F86" i="6" s="1"/>
  <c r="D95" i="6"/>
  <c r="E95" i="6" s="1"/>
  <c r="F95" i="6" s="1"/>
  <c r="F35" i="7"/>
  <c r="C95" i="7"/>
  <c r="F95" i="10"/>
  <c r="E95" i="10"/>
  <c r="E282" i="18"/>
  <c r="C110" i="22"/>
  <c r="F153" i="9"/>
  <c r="E153" i="9"/>
  <c r="F24" i="10"/>
  <c r="E24" i="10"/>
  <c r="C43" i="11"/>
  <c r="C188" i="7"/>
  <c r="E24" i="9"/>
  <c r="F24" i="9" s="1"/>
  <c r="E76" i="9"/>
  <c r="F76" i="9" s="1"/>
  <c r="F180" i="9"/>
  <c r="E180" i="9"/>
  <c r="F307" i="17"/>
  <c r="E230" i="18"/>
  <c r="F44" i="20"/>
  <c r="E88" i="8"/>
  <c r="E90" i="8" s="1"/>
  <c r="E86" i="8" s="1"/>
  <c r="F72" i="10"/>
  <c r="E72" i="10"/>
  <c r="F29" i="11"/>
  <c r="D188" i="7"/>
  <c r="E128" i="9"/>
  <c r="F128" i="9" s="1"/>
  <c r="E65" i="11"/>
  <c r="F65" i="11" s="1"/>
  <c r="D75" i="11"/>
  <c r="F94" i="17"/>
  <c r="F110" i="17"/>
  <c r="C75" i="11"/>
  <c r="F47" i="10"/>
  <c r="E47" i="10"/>
  <c r="F73" i="11"/>
  <c r="E60" i="15"/>
  <c r="F75" i="15"/>
  <c r="C159" i="17"/>
  <c r="E159" i="17" s="1"/>
  <c r="C193" i="17"/>
  <c r="C163" i="18"/>
  <c r="E163" i="18" s="1"/>
  <c r="C175" i="18"/>
  <c r="E175" i="18" s="1"/>
  <c r="E277" i="18"/>
  <c r="E20" i="20"/>
  <c r="F20" i="20" s="1"/>
  <c r="D23" i="22"/>
  <c r="D33" i="22"/>
  <c r="D34" i="22"/>
  <c r="E59" i="13"/>
  <c r="E61" i="13" s="1"/>
  <c r="E57" i="13" s="1"/>
  <c r="G33" i="14"/>
  <c r="F114" i="10"/>
  <c r="C15" i="13"/>
  <c r="F37" i="15"/>
  <c r="F109" i="17"/>
  <c r="F16" i="20"/>
  <c r="C33" i="14"/>
  <c r="D210" i="18"/>
  <c r="C48" i="13"/>
  <c r="C42" i="13" s="1"/>
  <c r="E25" i="20"/>
  <c r="F25" i="20" s="1"/>
  <c r="D129" i="18" l="1"/>
  <c r="C85" i="18"/>
  <c r="E52" i="6"/>
  <c r="F52" i="6" s="1"/>
  <c r="E43" i="18"/>
  <c r="D44" i="18"/>
  <c r="D259" i="18"/>
  <c r="D263" i="18" s="1"/>
  <c r="C234" i="18"/>
  <c r="C211" i="18"/>
  <c r="C235" i="18" s="1"/>
  <c r="C176" i="17"/>
  <c r="C180" i="18"/>
  <c r="C145" i="18"/>
  <c r="E144" i="18"/>
  <c r="C168" i="18"/>
  <c r="E168" i="18" s="1"/>
  <c r="E111" i="22"/>
  <c r="E54" i="22"/>
  <c r="E75" i="11"/>
  <c r="E40" i="22"/>
  <c r="E267" i="17"/>
  <c r="F267" i="17" s="1"/>
  <c r="D271" i="17"/>
  <c r="D268" i="17"/>
  <c r="E268" i="17" s="1"/>
  <c r="F268" i="17" s="1"/>
  <c r="E21" i="8"/>
  <c r="E20" i="8"/>
  <c r="E22" i="8"/>
  <c r="C76" i="18"/>
  <c r="E71" i="18"/>
  <c r="E46" i="22"/>
  <c r="D139" i="17"/>
  <c r="E139" i="17" s="1"/>
  <c r="F139" i="17" s="1"/>
  <c r="D286" i="17"/>
  <c r="E286" i="17" s="1"/>
  <c r="F286" i="17" s="1"/>
  <c r="E283" i="17"/>
  <c r="F283" i="17" s="1"/>
  <c r="E172" i="17"/>
  <c r="F172" i="17" s="1"/>
  <c r="D173" i="17"/>
  <c r="C66" i="18"/>
  <c r="E65" i="18"/>
  <c r="C294" i="18"/>
  <c r="D137" i="8"/>
  <c r="D140" i="8"/>
  <c r="D135" i="8"/>
  <c r="D138" i="8"/>
  <c r="D136" i="8"/>
  <c r="D139" i="8"/>
  <c r="F43" i="20"/>
  <c r="E46" i="20"/>
  <c r="F46" i="20" s="1"/>
  <c r="D207" i="17"/>
  <c r="E141" i="8"/>
  <c r="D152" i="8"/>
  <c r="D157" i="8"/>
  <c r="D155" i="8"/>
  <c r="D153" i="8"/>
  <c r="D156" i="8"/>
  <c r="D154" i="8"/>
  <c r="D174" i="17"/>
  <c r="E174" i="17" s="1"/>
  <c r="F174" i="17" s="1"/>
  <c r="E61" i="17"/>
  <c r="F61" i="17" s="1"/>
  <c r="D104" i="17"/>
  <c r="E104" i="17" s="1"/>
  <c r="F104" i="17" s="1"/>
  <c r="D140" i="17"/>
  <c r="E278" i="17"/>
  <c r="F278" i="17" s="1"/>
  <c r="D288" i="17"/>
  <c r="E288" i="17" s="1"/>
  <c r="F288" i="17" s="1"/>
  <c r="C155" i="8"/>
  <c r="C153" i="8"/>
  <c r="C156" i="8"/>
  <c r="C154" i="8"/>
  <c r="C152" i="8"/>
  <c r="C157" i="8"/>
  <c r="E28" i="8"/>
  <c r="E99" i="8" s="1"/>
  <c r="E101" i="8" s="1"/>
  <c r="E98" i="8" s="1"/>
  <c r="E112" i="8"/>
  <c r="E111" i="8" s="1"/>
  <c r="E37" i="17"/>
  <c r="F37" i="17"/>
  <c r="D295" i="18"/>
  <c r="E33" i="18"/>
  <c r="D279" i="17"/>
  <c r="E279" i="17" s="1"/>
  <c r="F279" i="17" s="1"/>
  <c r="E49" i="12"/>
  <c r="D263" i="17"/>
  <c r="E263" i="17" s="1"/>
  <c r="F263" i="17" s="1"/>
  <c r="E262" i="17"/>
  <c r="F262" i="17" s="1"/>
  <c r="E157" i="18"/>
  <c r="D193" i="17"/>
  <c r="E193" i="17" s="1"/>
  <c r="F193" i="17" s="1"/>
  <c r="E192" i="17"/>
  <c r="F192" i="17" s="1"/>
  <c r="D116" i="18"/>
  <c r="D117" i="18" s="1"/>
  <c r="E294" i="18"/>
  <c r="D106" i="17"/>
  <c r="E106" i="17" s="1"/>
  <c r="F106" i="17" s="1"/>
  <c r="E105" i="17"/>
  <c r="F105" i="17" s="1"/>
  <c r="C86" i="18"/>
  <c r="C98" i="18"/>
  <c r="C258" i="18"/>
  <c r="C96" i="18"/>
  <c r="C101" i="18"/>
  <c r="C89" i="18"/>
  <c r="C84" i="18"/>
  <c r="C99" i="18"/>
  <c r="C87" i="18"/>
  <c r="C95" i="18"/>
  <c r="C83" i="18"/>
  <c r="C88" i="18"/>
  <c r="C100" i="18"/>
  <c r="E95" i="7"/>
  <c r="E121" i="10"/>
  <c r="E122" i="10"/>
  <c r="E239" i="17"/>
  <c r="F239" i="17" s="1"/>
  <c r="E303" i="18"/>
  <c r="D306" i="18"/>
  <c r="C55" i="22"/>
  <c r="C47" i="22"/>
  <c r="C37" i="22"/>
  <c r="C112" i="22"/>
  <c r="E280" i="17"/>
  <c r="F280" i="17" s="1"/>
  <c r="D291" i="17"/>
  <c r="D289" i="17"/>
  <c r="E289" i="17" s="1"/>
  <c r="F289" i="17" s="1"/>
  <c r="E287" i="17"/>
  <c r="F287" i="17" s="1"/>
  <c r="D127" i="17"/>
  <c r="E126" i="17"/>
  <c r="F126" i="17" s="1"/>
  <c r="F40" i="20"/>
  <c r="E41" i="20"/>
  <c r="F41" i="20" s="1"/>
  <c r="E38" i="22"/>
  <c r="E113" i="22"/>
  <c r="E56" i="22"/>
  <c r="E48" i="22"/>
  <c r="D273" i="17"/>
  <c r="E273" i="17" s="1"/>
  <c r="F273" i="17" s="1"/>
  <c r="D211" i="18"/>
  <c r="D180" i="18"/>
  <c r="E180" i="18" s="1"/>
  <c r="E210" i="18"/>
  <c r="D234" i="18"/>
  <c r="E234" i="18" s="1"/>
  <c r="C266" i="17"/>
  <c r="C194" i="17"/>
  <c r="C282" i="17"/>
  <c r="C312" i="17"/>
  <c r="C36" i="14"/>
  <c r="C38" i="14" s="1"/>
  <c r="C40" i="14" s="1"/>
  <c r="H33" i="14"/>
  <c r="H36" i="14" s="1"/>
  <c r="H38" i="14" s="1"/>
  <c r="H40" i="14" s="1"/>
  <c r="C161" i="17"/>
  <c r="F159" i="17"/>
  <c r="C160" i="17"/>
  <c r="E160" i="17" s="1"/>
  <c r="F75" i="11"/>
  <c r="E47" i="22"/>
  <c r="E37" i="22"/>
  <c r="E112" i="22"/>
  <c r="E55" i="22"/>
  <c r="D54" i="22"/>
  <c r="D30" i="22"/>
  <c r="D36" i="22"/>
  <c r="D40" i="22"/>
  <c r="D46" i="22"/>
  <c r="D111" i="22"/>
  <c r="E91" i="17"/>
  <c r="F91" i="17" s="1"/>
  <c r="D92" i="17"/>
  <c r="C21" i="8"/>
  <c r="G36" i="14"/>
  <c r="G38" i="14" s="1"/>
  <c r="G40" i="14" s="1"/>
  <c r="I33" i="14"/>
  <c r="I36" i="14" s="1"/>
  <c r="I38" i="14" s="1"/>
  <c r="I40" i="14" s="1"/>
  <c r="D162" i="17"/>
  <c r="E161" i="17"/>
  <c r="F49" i="12"/>
  <c r="E188" i="7"/>
  <c r="F188" i="7" s="1"/>
  <c r="E43" i="11"/>
  <c r="F43" i="11" s="1"/>
  <c r="E43" i="4"/>
  <c r="F43" i="4" s="1"/>
  <c r="E216" i="17"/>
  <c r="F216" i="17" s="1"/>
  <c r="C223" i="18"/>
  <c r="C246" i="18"/>
  <c r="E246" i="18" s="1"/>
  <c r="C141" i="8"/>
  <c r="D50" i="17"/>
  <c r="E49" i="17"/>
  <c r="F49" i="17" s="1"/>
  <c r="F95" i="7"/>
  <c r="E41" i="4"/>
  <c r="F41" i="4" s="1"/>
  <c r="C252" i="18"/>
  <c r="C253" i="18"/>
  <c r="E253" i="18" s="1"/>
  <c r="C24" i="13"/>
  <c r="C20" i="13" s="1"/>
  <c r="C17" i="13"/>
  <c r="C28" i="13" s="1"/>
  <c r="C21" i="5"/>
  <c r="E18" i="5"/>
  <c r="F18" i="5" s="1"/>
  <c r="C24" i="8"/>
  <c r="C20" i="8" s="1"/>
  <c r="C17" i="8"/>
  <c r="D63" i="17"/>
  <c r="E63" i="17" s="1"/>
  <c r="F63" i="17" s="1"/>
  <c r="E62" i="17"/>
  <c r="F62" i="17" s="1"/>
  <c r="D131" i="18" l="1"/>
  <c r="E306" i="18"/>
  <c r="D310" i="18"/>
  <c r="E310" i="18" s="1"/>
  <c r="D141" i="17"/>
  <c r="E140" i="17"/>
  <c r="F140" i="17" s="1"/>
  <c r="E173" i="17"/>
  <c r="F173" i="17" s="1"/>
  <c r="D175" i="17"/>
  <c r="C77" i="18"/>
  <c r="E76" i="18"/>
  <c r="D158" i="8"/>
  <c r="C211" i="17"/>
  <c r="C90" i="18"/>
  <c r="C91" i="18" s="1"/>
  <c r="E295" i="18"/>
  <c r="D141" i="8"/>
  <c r="C158" i="8"/>
  <c r="E207" i="17"/>
  <c r="F207" i="17" s="1"/>
  <c r="D208" i="17"/>
  <c r="D304" i="17"/>
  <c r="E304" i="17" s="1"/>
  <c r="F304" i="17" s="1"/>
  <c r="E271" i="17"/>
  <c r="F271" i="17" s="1"/>
  <c r="D282" i="17"/>
  <c r="D281" i="17" s="1"/>
  <c r="D266" i="17"/>
  <c r="D265" i="17" s="1"/>
  <c r="D194" i="17"/>
  <c r="C102" i="18"/>
  <c r="C103" i="18" s="1"/>
  <c r="C295" i="18"/>
  <c r="E66" i="18"/>
  <c r="C181" i="18"/>
  <c r="C169" i="18"/>
  <c r="E169" i="18" s="1"/>
  <c r="E145" i="18"/>
  <c r="D98" i="18"/>
  <c r="E98" i="18" s="1"/>
  <c r="D97" i="18"/>
  <c r="E97" i="18" s="1"/>
  <c r="D85" i="18"/>
  <c r="E85" i="18" s="1"/>
  <c r="D100" i="18"/>
  <c r="E100" i="18" s="1"/>
  <c r="D88" i="18"/>
  <c r="E88" i="18" s="1"/>
  <c r="D96" i="18"/>
  <c r="D86" i="18"/>
  <c r="E86" i="18" s="1"/>
  <c r="D99" i="18"/>
  <c r="E99" i="18" s="1"/>
  <c r="D89" i="18"/>
  <c r="E89" i="18" s="1"/>
  <c r="D84" i="18"/>
  <c r="D87" i="18"/>
  <c r="E87" i="18" s="1"/>
  <c r="E44" i="18"/>
  <c r="D83" i="18"/>
  <c r="E83" i="18" s="1"/>
  <c r="D101" i="18"/>
  <c r="E101" i="18" s="1"/>
  <c r="D258" i="18"/>
  <c r="D95" i="18"/>
  <c r="C259" i="18"/>
  <c r="C70" i="13"/>
  <c r="C72" i="13" s="1"/>
  <c r="C69" i="13" s="1"/>
  <c r="C22" i="13"/>
  <c r="D56" i="22"/>
  <c r="D48" i="22"/>
  <c r="D113" i="22"/>
  <c r="D38" i="22"/>
  <c r="C313" i="17"/>
  <c r="C265" i="17"/>
  <c r="E266" i="17"/>
  <c r="F266" i="17" s="1"/>
  <c r="C247" i="18"/>
  <c r="E247" i="18" s="1"/>
  <c r="E223" i="18"/>
  <c r="C196" i="17"/>
  <c r="E194" i="17"/>
  <c r="F194" i="17" s="1"/>
  <c r="C195" i="17"/>
  <c r="E50" i="17"/>
  <c r="F50" i="17" s="1"/>
  <c r="D70" i="17"/>
  <c r="E70" i="17" s="1"/>
  <c r="F70" i="17" s="1"/>
  <c r="D324" i="17"/>
  <c r="E92" i="17"/>
  <c r="F92" i="17" s="1"/>
  <c r="D113" i="17"/>
  <c r="E113" i="17" s="1"/>
  <c r="F113" i="17" s="1"/>
  <c r="D148" i="17"/>
  <c r="E148" i="17" s="1"/>
  <c r="F148" i="17" s="1"/>
  <c r="E127" i="17"/>
  <c r="F127" i="17" s="1"/>
  <c r="F21" i="5"/>
  <c r="E21" i="5"/>
  <c r="C35" i="5"/>
  <c r="F160" i="17"/>
  <c r="C254" i="18"/>
  <c r="E254" i="18" s="1"/>
  <c r="E252" i="18"/>
  <c r="C28" i="8"/>
  <c r="C112" i="8"/>
  <c r="C111" i="8" s="1"/>
  <c r="C162" i="17"/>
  <c r="F161" i="17"/>
  <c r="C281" i="17"/>
  <c r="D235" i="18"/>
  <c r="E235" i="18" s="1"/>
  <c r="E211" i="18"/>
  <c r="D181" i="18"/>
  <c r="E181" i="18" s="1"/>
  <c r="C105" i="18"/>
  <c r="E291" i="17"/>
  <c r="F291" i="17" s="1"/>
  <c r="D305" i="17"/>
  <c r="D102" i="18" l="1"/>
  <c r="E102" i="18" s="1"/>
  <c r="E96" i="18"/>
  <c r="E175" i="17"/>
  <c r="F175" i="17" s="1"/>
  <c r="D176" i="17"/>
  <c r="D322" i="17"/>
  <c r="E322" i="17" s="1"/>
  <c r="F322" i="17" s="1"/>
  <c r="E141" i="17"/>
  <c r="F141" i="17" s="1"/>
  <c r="E84" i="18"/>
  <c r="D90" i="18"/>
  <c r="C263" i="18"/>
  <c r="E259" i="18"/>
  <c r="D210" i="17"/>
  <c r="E208" i="17"/>
  <c r="F208" i="17" s="1"/>
  <c r="D209" i="17"/>
  <c r="E209" i="17" s="1"/>
  <c r="F209" i="17" s="1"/>
  <c r="E282" i="17"/>
  <c r="F282" i="17" s="1"/>
  <c r="E95" i="18"/>
  <c r="D103" i="18"/>
  <c r="E103" i="18" s="1"/>
  <c r="E258" i="18"/>
  <c r="D264" i="18"/>
  <c r="D266" i="18" s="1"/>
  <c r="D267" i="18" s="1"/>
  <c r="D195" i="17"/>
  <c r="E195" i="17" s="1"/>
  <c r="F195" i="17" s="1"/>
  <c r="D196" i="17"/>
  <c r="D197" i="17" s="1"/>
  <c r="C126" i="18"/>
  <c r="E126" i="18" s="1"/>
  <c r="C125" i="18"/>
  <c r="E125" i="18" s="1"/>
  <c r="C124" i="18"/>
  <c r="E124" i="18" s="1"/>
  <c r="C123" i="18"/>
  <c r="C122" i="18"/>
  <c r="E122" i="18" s="1"/>
  <c r="C121" i="18"/>
  <c r="E121" i="18" s="1"/>
  <c r="C115" i="18"/>
  <c r="E115" i="18" s="1"/>
  <c r="C114" i="18"/>
  <c r="E114" i="18" s="1"/>
  <c r="C113" i="18"/>
  <c r="E113" i="18" s="1"/>
  <c r="C112" i="18"/>
  <c r="E112" i="18" s="1"/>
  <c r="C111" i="18"/>
  <c r="E111" i="18" s="1"/>
  <c r="C110" i="18"/>
  <c r="C127" i="18"/>
  <c r="E127" i="18" s="1"/>
  <c r="C109" i="18"/>
  <c r="E77" i="18"/>
  <c r="C256" i="17"/>
  <c r="C315" i="17"/>
  <c r="C314" i="17"/>
  <c r="C251" i="17"/>
  <c r="C99" i="8"/>
  <c r="C101" i="8" s="1"/>
  <c r="C98" i="8" s="1"/>
  <c r="C22" i="8"/>
  <c r="C43" i="5"/>
  <c r="E35" i="5"/>
  <c r="F35" i="5"/>
  <c r="C183" i="17"/>
  <c r="C323" i="17"/>
  <c r="C197" i="17"/>
  <c r="E265" i="17"/>
  <c r="F265" i="17" s="1"/>
  <c r="D269" i="18"/>
  <c r="D268" i="18"/>
  <c r="D309" i="17"/>
  <c r="E305" i="17"/>
  <c r="F305" i="17" s="1"/>
  <c r="E281" i="17"/>
  <c r="F281" i="17" s="1"/>
  <c r="E324" i="17"/>
  <c r="F324" i="17" s="1"/>
  <c r="E196" i="17"/>
  <c r="F196" i="17" s="1"/>
  <c r="E162" i="17"/>
  <c r="F162" i="17" s="1"/>
  <c r="E109" i="18" l="1"/>
  <c r="E210" i="17"/>
  <c r="F210" i="17" s="1"/>
  <c r="D211" i="17"/>
  <c r="E211" i="17" s="1"/>
  <c r="F211" i="17" s="1"/>
  <c r="C116" i="18"/>
  <c r="E116" i="18" s="1"/>
  <c r="E110" i="18"/>
  <c r="C128" i="18"/>
  <c r="E123" i="18"/>
  <c r="E263" i="18"/>
  <c r="C264" i="18"/>
  <c r="E176" i="17"/>
  <c r="F176" i="17" s="1"/>
  <c r="D323" i="17"/>
  <c r="D183" i="17"/>
  <c r="E183" i="17" s="1"/>
  <c r="F183" i="17" s="1"/>
  <c r="D91" i="18"/>
  <c r="E90" i="18"/>
  <c r="C50" i="5"/>
  <c r="E43" i="5"/>
  <c r="F43" i="5"/>
  <c r="E197" i="17"/>
  <c r="F197" i="17" s="1"/>
  <c r="C325" i="17"/>
  <c r="C318" i="17"/>
  <c r="D310" i="17"/>
  <c r="E309" i="17"/>
  <c r="F309" i="17" s="1"/>
  <c r="D271" i="18"/>
  <c r="C257" i="17"/>
  <c r="D105" i="18" l="1"/>
  <c r="E105" i="18" s="1"/>
  <c r="E91" i="18"/>
  <c r="C129" i="18"/>
  <c r="E129" i="18" s="1"/>
  <c r="E128" i="18"/>
  <c r="E323" i="17"/>
  <c r="F323" i="17" s="1"/>
  <c r="D325" i="17"/>
  <c r="E325" i="17" s="1"/>
  <c r="F325" i="17" s="1"/>
  <c r="E264" i="18"/>
  <c r="C266" i="18"/>
  <c r="C117" i="18"/>
  <c r="E310" i="17"/>
  <c r="F310" i="17" s="1"/>
  <c r="D312" i="17"/>
  <c r="E50" i="5"/>
  <c r="F50" i="5" s="1"/>
  <c r="C131" i="18" l="1"/>
  <c r="E131" i="18" s="1"/>
  <c r="E117" i="18"/>
  <c r="E266" i="18"/>
  <c r="C267" i="18"/>
  <c r="D313" i="17"/>
  <c r="E312" i="17"/>
  <c r="F312" i="17" s="1"/>
  <c r="C269" i="18" l="1"/>
  <c r="E269" i="18" s="1"/>
  <c r="E267" i="18"/>
  <c r="C268" i="18"/>
  <c r="D315" i="17"/>
  <c r="E315" i="17" s="1"/>
  <c r="F315" i="17" s="1"/>
  <c r="E313" i="17"/>
  <c r="F313" i="17" s="1"/>
  <c r="D314" i="17"/>
  <c r="D256" i="17"/>
  <c r="D251" i="17"/>
  <c r="E251" i="17" s="1"/>
  <c r="F251" i="17" s="1"/>
  <c r="E268" i="18" l="1"/>
  <c r="C271" i="18"/>
  <c r="E271" i="18" s="1"/>
  <c r="D257" i="17"/>
  <c r="E257" i="17" s="1"/>
  <c r="F257" i="17" s="1"/>
  <c r="E256" i="17"/>
  <c r="F256" i="17" s="1"/>
  <c r="D318" i="17"/>
  <c r="E318" i="17" s="1"/>
  <c r="F318" i="17" s="1"/>
  <c r="E314" i="17"/>
  <c r="F314" i="17" s="1"/>
</calcChain>
</file>

<file path=xl/sharedStrings.xml><?xml version="1.0" encoding="utf-8"?>
<sst xmlns="http://schemas.openxmlformats.org/spreadsheetml/2006/main" count="2334" uniqueCount="1009">
  <si>
    <t>MILFORD HOSPITAL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</si>
  <si>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</si>
  <si>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</si>
  <si>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</si>
  <si>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</si>
  <si>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</si>
  <si>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</si>
  <si>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</si>
  <si>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</si>
  <si>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</si>
  <si>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</si>
  <si>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</si>
  <si>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</si>
  <si>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</si>
  <si>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</si>
  <si>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</si>
  <si>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</si>
  <si>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</si>
  <si>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</si>
  <si>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</si>
  <si>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</si>
  <si>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</si>
  <si>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</si>
  <si>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</si>
  <si>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</si>
  <si>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</si>
  <si>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</si>
  <si>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</si>
  <si>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</si>
  <si>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</si>
  <si>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</si>
  <si>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</si>
  <si>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</si>
  <si>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</si>
  <si>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</si>
  <si>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</si>
  <si>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</si>
  <si>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</si>
  <si>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</si>
  <si>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</si>
  <si>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</si>
  <si>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</si>
  <si>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</si>
  <si>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</si>
  <si>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</si>
  <si>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</si>
  <si>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</si>
  <si>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</si>
  <si>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</si>
  <si>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</si>
  <si>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</si>
  <si>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</si>
  <si>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</si>
  <si>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</si>
  <si>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</si>
  <si>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</si>
  <si>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</si>
  <si>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</si>
  <si>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</si>
  <si>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</si>
  <si>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</si>
  <si>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</si>
  <si>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</si>
  <si>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</si>
  <si>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</si>
  <si>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</si>
  <si>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</si>
  <si>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</si>
  <si>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</si>
  <si>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</si>
  <si>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</si>
  <si>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</si>
  <si>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</si>
  <si>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</si>
  <si>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</si>
  <si>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</si>
  <si>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</si>
  <si>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</si>
  <si>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</si>
  <si>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</si>
  <si>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</si>
  <si>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</si>
  <si>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</si>
  <si>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</si>
  <si>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</si>
  <si>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</si>
  <si>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</si>
  <si>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</si>
  <si>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</si>
  <si>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</si>
  <si>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</si>
  <si>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</si>
  <si>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</si>
  <si>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</si>
  <si>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</si>
  <si>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</si>
  <si>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</si>
  <si>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</si>
  <si>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</si>
  <si>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</si>
  <si>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</si>
  <si>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</si>
  <si>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</si>
  <si>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</si>
  <si>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</si>
  <si>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</si>
  <si>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</si>
  <si>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</si>
  <si>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</si>
  <si>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</si>
  <si>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</si>
  <si>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</si>
  <si>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</si>
  <si>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</si>
  <si>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</si>
  <si>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</si>
  <si>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</si>
  <si>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</si>
  <si>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</si>
  <si>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</si>
  <si>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</si>
  <si>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</si>
  <si>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</si>
  <si>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</si>
  <si>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</si>
  <si>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</si>
  <si>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</si>
  <si>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</si>
  <si>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</si>
  <si>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</si>
  <si>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</si>
  <si>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</si>
  <si>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</si>
  <si>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</si>
  <si>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</si>
  <si>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</si>
  <si>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</si>
  <si>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</si>
  <si>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</si>
  <si>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</si>
  <si>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</si>
  <si>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</si>
  <si>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</si>
  <si>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</si>
  <si>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</si>
  <si>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</si>
  <si>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</si>
  <si>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</si>
  <si>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</si>
  <si>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</si>
  <si>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</si>
  <si>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</si>
  <si>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</si>
  <si>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</si>
  <si>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</si>
  <si>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</si>
  <si>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</si>
  <si>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</si>
  <si>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</si>
  <si>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</si>
  <si>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</si>
  <si>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</si>
  <si>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</si>
  <si>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</si>
  <si>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</si>
  <si>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</si>
  <si>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</si>
  <si>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</si>
  <si>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</si>
  <si>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</si>
  <si>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</si>
  <si>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</si>
  <si>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</si>
  <si>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</si>
  <si>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</si>
  <si>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</si>
  <si>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</si>
  <si>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</si>
  <si>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</si>
  <si>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</si>
  <si>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</si>
  <si>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</si>
  <si>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</si>
  <si>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</si>
  <si>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</si>
  <si>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</si>
  <si>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</si>
  <si>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</si>
  <si>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</si>
  <si>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</si>
  <si>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</si>
  <si>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</si>
  <si>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</si>
  <si>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</si>
  <si>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</si>
  <si>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</si>
  <si>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</si>
  <si>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</si>
  <si>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</si>
  <si>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</si>
  <si>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</si>
  <si>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</si>
  <si>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</si>
  <si>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</si>
  <si>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</si>
  <si>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</si>
  <si>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</si>
  <si>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</si>
  <si>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</si>
  <si>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</si>
  <si>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</si>
  <si>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</si>
  <si>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</si>
  <si>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</si>
  <si>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</si>
  <si>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</si>
  <si>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</si>
  <si>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</si>
  <si>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</si>
  <si>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</si>
  <si>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</si>
  <si>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</si>
  <si>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</si>
  <si>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</si>
  <si>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</si>
  <si>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</si>
  <si>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</si>
  <si>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</si>
  <si>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</si>
  <si>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</si>
  <si>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</si>
  <si>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</si>
  <si>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</si>
  <si>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</si>
  <si>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</si>
  <si>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</si>
  <si>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</si>
  <si>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</si>
  <si>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</si>
  <si>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</si>
  <si>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</si>
  <si>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</si>
  <si>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</si>
  <si>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</si>
  <si>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</si>
  <si>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</si>
  <si>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</si>
  <si>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</si>
  <si>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</si>
  <si>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</si>
  <si>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</si>
  <si>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</si>
  <si>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</si>
  <si>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</si>
  <si>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</si>
  <si>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</si>
  <si>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</si>
  <si>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</si>
  <si>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</si>
  <si>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</si>
  <si>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</si>
  <si>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</si>
  <si>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</si>
  <si>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</si>
  <si>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</si>
  <si>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</si>
  <si>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</si>
  <si>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</si>
  <si>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</si>
  <si>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</si>
  <si>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</si>
  <si>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</si>
  <si>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</si>
  <si>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</si>
  <si>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</si>
  <si>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</si>
  <si>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</si>
  <si>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</si>
  <si>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</si>
  <si>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</si>
  <si>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</si>
  <si>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</si>
  <si>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</si>
  <si>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</si>
  <si>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</si>
  <si>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</si>
  <si>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</si>
  <si>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</si>
  <si>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</si>
  <si>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</si>
  <si>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</si>
  <si>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</si>
  <si>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</si>
  <si>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</si>
  <si>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</si>
  <si>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</si>
  <si>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</si>
  <si>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</si>
  <si>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</si>
  <si>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</si>
  <si>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</si>
  <si>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</si>
  <si>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</si>
  <si>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</si>
  <si>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</si>
  <si>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</si>
  <si>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</si>
  <si>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</si>
  <si>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</si>
  <si>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</si>
  <si>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</si>
  <si>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</si>
  <si>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</si>
  <si>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</si>
  <si>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</si>
  <si>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</si>
  <si>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</si>
  <si>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</si>
  <si>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</si>
  <si>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</si>
  <si>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</si>
  <si>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</si>
  <si>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</si>
  <si>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</si>
  <si>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</si>
  <si>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</si>
  <si>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</si>
  <si>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</si>
  <si>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</si>
  <si>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</si>
  <si>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</si>
  <si>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</si>
  <si>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</si>
  <si>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</si>
  <si>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</si>
  <si>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</si>
  <si>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</si>
  <si>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</si>
  <si>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</si>
  <si>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</si>
  <si>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</si>
  <si>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</si>
  <si>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</si>
  <si>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</si>
  <si>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</si>
  <si>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</si>
  <si>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</si>
  <si>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</si>
  <si>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</si>
  <si>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</si>
  <si>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</si>
  <si>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</si>
  <si>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</si>
  <si>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</si>
  <si>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</si>
  <si>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</si>
  <si>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</si>
  <si>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</si>
  <si>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</si>
  <si>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</si>
  <si>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</si>
  <si>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</si>
  <si>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</si>
  <si>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</si>
  <si>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</si>
  <si>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</si>
  <si>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</si>
  <si>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</si>
  <si>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</si>
  <si>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</si>
  <si>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</si>
  <si>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</si>
  <si>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</si>
  <si>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</si>
  <si>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</si>
  <si>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</si>
  <si>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</si>
  <si>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</si>
  <si>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</si>
  <si>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</si>
  <si>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</si>
  <si>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</si>
  <si>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</si>
  <si>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</si>
  <si>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</si>
  <si>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</si>
  <si>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</si>
  <si>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</si>
  <si>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</si>
  <si>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</si>
  <si>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</si>
  <si>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</si>
  <si>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</si>
  <si>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</si>
  <si>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</si>
  <si>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</si>
  <si>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</si>
  <si>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</si>
  <si>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</si>
  <si>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</si>
  <si>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</si>
  <si>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</si>
  <si>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</si>
  <si>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</si>
  <si>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</si>
  <si>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</si>
  <si>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</si>
  <si>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</si>
  <si>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</si>
  <si>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</si>
  <si>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</si>
  <si>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</si>
  <si>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</si>
  <si>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</si>
  <si>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</si>
  <si>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</si>
  <si>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</si>
  <si>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</si>
  <si>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</si>
  <si>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</si>
  <si>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</si>
  <si>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</si>
  <si>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</si>
  <si>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</si>
  <si>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</si>
  <si>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</si>
  <si>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</si>
  <si>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</si>
  <si>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</si>
  <si>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</si>
  <si>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</si>
  <si>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</si>
  <si>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</si>
  <si>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</si>
  <si>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</si>
  <si>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</si>
  <si>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</si>
  <si>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</si>
  <si>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</si>
  <si>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</si>
  <si>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</si>
  <si>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</si>
  <si>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</si>
  <si>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</si>
  <si>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</si>
  <si>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</si>
  <si>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</si>
  <si>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</si>
  <si>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</si>
  <si>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</si>
  <si>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</si>
  <si>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</si>
  <si>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</si>
  <si>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</si>
  <si>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</si>
  <si>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</si>
  <si>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</si>
  <si>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</si>
  <si>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</si>
  <si>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</si>
  <si>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</si>
  <si>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</si>
  <si>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</si>
  <si>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</si>
  <si>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</si>
  <si>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</si>
  <si>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</si>
  <si>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</si>
  <si>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</si>
  <si>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</si>
  <si>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</si>
  <si>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</si>
  <si>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</si>
  <si>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</si>
  <si>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</si>
  <si>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</si>
  <si>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</si>
  <si>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</si>
  <si>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</si>
  <si>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</si>
  <si>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</si>
  <si>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</si>
  <si>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</si>
  <si>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</si>
  <si>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</si>
  <si>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</si>
  <si>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</si>
  <si>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</si>
  <si>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</si>
  <si>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</si>
  <si>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</si>
  <si>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</si>
  <si>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</si>
  <si>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</si>
  <si>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</si>
  <si>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</si>
  <si>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</si>
  <si>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</si>
  <si>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</si>
  <si>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</si>
  <si>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MILFORD HEALTH &amp; MEDICAL,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</si>
  <si>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</si>
  <si>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</si>
  <si>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</si>
  <si>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</si>
  <si>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</si>
  <si>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</si>
  <si>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</si>
  <si>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</si>
  <si>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</si>
  <si>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</si>
  <si>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</si>
  <si>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</si>
  <si>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</si>
  <si>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</si>
  <si>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</si>
  <si>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</si>
  <si>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</si>
  <si>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</si>
  <si>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</si>
  <si>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</si>
  <si>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</si>
  <si>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</si>
  <si>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</si>
  <si>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</si>
  <si>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</si>
  <si>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</si>
  <si>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</si>
  <si>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</si>
  <si>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</si>
  <si>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</si>
  <si>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</si>
  <si>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</si>
  <si>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</si>
  <si>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</si>
  <si>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</si>
  <si>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</si>
  <si>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</si>
  <si>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</si>
  <si>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</si>
  <si>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</si>
  <si>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</si>
  <si>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</si>
  <si>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</si>
  <si>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</si>
  <si>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</si>
  <si>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</si>
  <si>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</si>
  <si>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</si>
  <si>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</si>
  <si>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</si>
  <si>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</si>
  <si>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</si>
  <si>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</si>
  <si>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</si>
  <si>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</si>
  <si>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</si>
  <si>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</si>
  <si>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</si>
  <si>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</si>
  <si>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</si>
  <si>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</si>
  <si>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</si>
  <si>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</si>
  <si>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</si>
  <si>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</si>
  <si>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</si>
  <si>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</si>
  <si>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</si>
  <si>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</si>
  <si>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</si>
  <si>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</si>
  <si>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</si>
  <si>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</si>
  <si>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</si>
  <si>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</si>
  <si>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</si>
  <si>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</si>
  <si>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</si>
  <si>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</si>
  <si>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</si>
  <si>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</si>
  <si>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</si>
  <si>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</si>
  <si>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</si>
  <si>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</si>
  <si>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</si>
  <si>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</si>
  <si>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</si>
  <si>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</si>
  <si>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</si>
  <si>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</si>
  <si>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</si>
  <si>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</si>
  <si>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</si>
  <si>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</si>
  <si>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</si>
  <si>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</si>
  <si>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</si>
  <si>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</si>
  <si>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</si>
  <si>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</si>
  <si>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</si>
  <si>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</si>
  <si>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</si>
  <si>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</si>
  <si>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</si>
  <si>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</si>
  <si>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</si>
  <si>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</si>
  <si>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</si>
  <si>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</si>
  <si>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</si>
  <si>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</si>
  <si>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</si>
  <si>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</si>
  <si>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</si>
  <si>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</si>
  <si>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</si>
  <si>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</si>
  <si>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</si>
  <si>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Milford Hospital</t>
  </si>
  <si>
    <t>Total Outpatient Surgical Procedures(A)</t>
  </si>
  <si>
    <t>Total Outpatient Endoscopy Procedures(B)</t>
  </si>
  <si>
    <t>Outpatient Hospital Emergency Room Visits</t>
  </si>
  <si>
    <t>MilfHospBostonPostRd WalkIn Ctr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</si>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</sst>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1171348</v>
      </c>
      <c r="D13" s="22">
        <v>2256558</v>
      </c>
      <c r="E13" s="22">
        <f t="shared" ref="E13:E22" si="0">D13-C13</f>
        <v>1085210</v>
      </c>
      <c r="F13" s="23">
        <f t="shared" ref="F13:F22" si="1">IF(C13=0,0,E13/C13)</f>
        <v>0.92646250303069622</v>
      </c>
    </row>
    <row r="14" spans="1:8" ht="24" customHeight="1" x14ac:dyDescent="0.2">
      <c r="A14" s="20">
        <v>2</v>
      </c>
      <c r="B14" s="21" t="s">
        <v>17</v>
      </c>
      <c r="C14" s="22">
        <v>3536565</v>
      </c>
      <c r="D14" s="22">
        <v>1318374</v>
      </c>
      <c r="E14" s="22">
        <f t="shared" si="0"/>
        <v>-2218191</v>
      </c>
      <c r="F14" s="23">
        <f t="shared" si="1"/>
        <v>-0.62721623948662053</v>
      </c>
    </row>
    <row r="15" spans="1:8" ht="24" customHeight="1" x14ac:dyDescent="0.2">
      <c r="A15" s="20">
        <v>3</v>
      </c>
      <c r="B15" s="21" t="s">
        <v>18</v>
      </c>
      <c r="C15" s="22">
        <v>8480597</v>
      </c>
      <c r="D15" s="22">
        <v>6548786</v>
      </c>
      <c r="E15" s="22">
        <f t="shared" si="0"/>
        <v>-1931811</v>
      </c>
      <c r="F15" s="23">
        <f t="shared" si="1"/>
        <v>-0.22779186418125988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775631</v>
      </c>
      <c r="D19" s="22">
        <v>1100067</v>
      </c>
      <c r="E19" s="22">
        <f t="shared" si="0"/>
        <v>324436</v>
      </c>
      <c r="F19" s="23">
        <f t="shared" si="1"/>
        <v>0.4182865305796184</v>
      </c>
    </row>
    <row r="20" spans="1:11" ht="24" customHeight="1" x14ac:dyDescent="0.2">
      <c r="A20" s="20">
        <v>8</v>
      </c>
      <c r="B20" s="21" t="s">
        <v>23</v>
      </c>
      <c r="C20" s="22">
        <v>360501</v>
      </c>
      <c r="D20" s="22">
        <v>428579</v>
      </c>
      <c r="E20" s="22">
        <f t="shared" si="0"/>
        <v>68078</v>
      </c>
      <c r="F20" s="23">
        <f t="shared" si="1"/>
        <v>0.18884274939597948</v>
      </c>
    </row>
    <row r="21" spans="1:11" ht="24" customHeight="1" x14ac:dyDescent="0.2">
      <c r="A21" s="20">
        <v>9</v>
      </c>
      <c r="B21" s="21" t="s">
        <v>24</v>
      </c>
      <c r="C21" s="22">
        <v>983092</v>
      </c>
      <c r="D21" s="22">
        <v>919934</v>
      </c>
      <c r="E21" s="22">
        <f t="shared" si="0"/>
        <v>-63158</v>
      </c>
      <c r="F21" s="23">
        <f t="shared" si="1"/>
        <v>-6.4244241637608682E-2</v>
      </c>
    </row>
    <row r="22" spans="1:11" ht="24" customHeight="1" x14ac:dyDescent="0.25">
      <c r="A22" s="24"/>
      <c r="B22" s="25" t="s">
        <v>25</v>
      </c>
      <c r="C22" s="26">
        <f>SUM(C13:C21)</f>
        <v>15307734</v>
      </c>
      <c r="D22" s="26">
        <f>SUM(D13:D21)</f>
        <v>12572298</v>
      </c>
      <c r="E22" s="26">
        <f t="shared" si="0"/>
        <v>-2735436</v>
      </c>
      <c r="F22" s="27">
        <f t="shared" si="1"/>
        <v>-0.17869633742002572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0</v>
      </c>
      <c r="D25" s="22">
        <v>0</v>
      </c>
      <c r="E25" s="22">
        <f>D25-C25</f>
        <v>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1665769</v>
      </c>
      <c r="D28" s="22">
        <v>1696568</v>
      </c>
      <c r="E28" s="22">
        <f>D28-C28</f>
        <v>30799</v>
      </c>
      <c r="F28" s="23">
        <f>IF(C28=0,0,E28/C28)</f>
        <v>1.8489358368417228E-2</v>
      </c>
    </row>
    <row r="29" spans="1:11" ht="24" customHeight="1" x14ac:dyDescent="0.25">
      <c r="A29" s="24"/>
      <c r="B29" s="25" t="s">
        <v>32</v>
      </c>
      <c r="C29" s="26">
        <f>SUM(C25:C28)</f>
        <v>1665769</v>
      </c>
      <c r="D29" s="26">
        <f>SUM(D25:D28)</f>
        <v>1696568</v>
      </c>
      <c r="E29" s="26">
        <f>D29-C29</f>
        <v>30799</v>
      </c>
      <c r="F29" s="27">
        <f>IF(C29=0,0,E29/C29)</f>
        <v>1.8489358368417228E-2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946440</v>
      </c>
      <c r="D31" s="22">
        <v>1216926</v>
      </c>
      <c r="E31" s="22">
        <f>D31-C31</f>
        <v>270486</v>
      </c>
      <c r="F31" s="23">
        <f>IF(C31=0,0,E31/C31)</f>
        <v>0.28579307721567138</v>
      </c>
    </row>
    <row r="32" spans="1:11" ht="24" customHeight="1" x14ac:dyDescent="0.2">
      <c r="A32" s="20">
        <v>6</v>
      </c>
      <c r="B32" s="21" t="s">
        <v>34</v>
      </c>
      <c r="C32" s="22">
        <v>457556</v>
      </c>
      <c r="D32" s="22">
        <v>477448</v>
      </c>
      <c r="E32" s="22">
        <f>D32-C32</f>
        <v>19892</v>
      </c>
      <c r="F32" s="23">
        <f>IF(C32=0,0,E32/C32)</f>
        <v>4.3474459956814031E-2</v>
      </c>
    </row>
    <row r="33" spans="1:8" ht="24" customHeight="1" x14ac:dyDescent="0.2">
      <c r="A33" s="20">
        <v>7</v>
      </c>
      <c r="B33" s="21" t="s">
        <v>35</v>
      </c>
      <c r="C33" s="22">
        <v>3826862</v>
      </c>
      <c r="D33" s="22">
        <v>2740691</v>
      </c>
      <c r="E33" s="22">
        <f>D33-C33</f>
        <v>-1086171</v>
      </c>
      <c r="F33" s="23">
        <f>IF(C33=0,0,E33/C33)</f>
        <v>-0.28382810772899569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53080312</v>
      </c>
      <c r="D36" s="22">
        <v>52598495</v>
      </c>
      <c r="E36" s="22">
        <f>D36-C36</f>
        <v>-481817</v>
      </c>
      <c r="F36" s="23">
        <f>IF(C36=0,0,E36/C36)</f>
        <v>-9.0771320259006773E-3</v>
      </c>
    </row>
    <row r="37" spans="1:8" ht="24" customHeight="1" x14ac:dyDescent="0.2">
      <c r="A37" s="20">
        <v>2</v>
      </c>
      <c r="B37" s="21" t="s">
        <v>39</v>
      </c>
      <c r="C37" s="22">
        <v>32778530</v>
      </c>
      <c r="D37" s="22">
        <v>34239316</v>
      </c>
      <c r="E37" s="22">
        <f>D37-C37</f>
        <v>1460786</v>
      </c>
      <c r="F37" s="23">
        <f>IF(C37=0,0,E37/C37)</f>
        <v>4.4565329805821063E-2</v>
      </c>
    </row>
    <row r="38" spans="1:8" ht="24" customHeight="1" x14ac:dyDescent="0.25">
      <c r="A38" s="24"/>
      <c r="B38" s="25" t="s">
        <v>40</v>
      </c>
      <c r="C38" s="26">
        <f>C36-C37</f>
        <v>20301782</v>
      </c>
      <c r="D38" s="26">
        <f>D36-D37</f>
        <v>18359179</v>
      </c>
      <c r="E38" s="26">
        <f>D38-C38</f>
        <v>-1942603</v>
      </c>
      <c r="F38" s="27">
        <f>IF(C38=0,0,E38/C38)</f>
        <v>-9.5686329406945658E-2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0</v>
      </c>
      <c r="D40" s="22">
        <v>0</v>
      </c>
      <c r="E40" s="22">
        <f>D40-C40</f>
        <v>0</v>
      </c>
      <c r="F40" s="23">
        <f>IF(C40=0,0,E40/C40)</f>
        <v>0</v>
      </c>
    </row>
    <row r="41" spans="1:8" ht="24" customHeight="1" x14ac:dyDescent="0.25">
      <c r="A41" s="24"/>
      <c r="B41" s="25" t="s">
        <v>42</v>
      </c>
      <c r="C41" s="26">
        <f>+C38+C40</f>
        <v>20301782</v>
      </c>
      <c r="D41" s="26">
        <f>+D38+D40</f>
        <v>18359179</v>
      </c>
      <c r="E41" s="26">
        <f>D41-C41</f>
        <v>-1942603</v>
      </c>
      <c r="F41" s="27">
        <f>IF(C41=0,0,E41/C41)</f>
        <v>-9.5686329406945658E-2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42506143</v>
      </c>
      <c r="D43" s="26">
        <f>D22+D29+D31+D32+D33+D41</f>
        <v>37063110</v>
      </c>
      <c r="E43" s="26">
        <f>D43-C43</f>
        <v>-5443033</v>
      </c>
      <c r="F43" s="27">
        <f>IF(C43=0,0,E43/C43)</f>
        <v>-0.12805285579545525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6717519</v>
      </c>
      <c r="D49" s="22">
        <v>4415431</v>
      </c>
      <c r="E49" s="22">
        <f t="shared" ref="E49:E56" si="2">D49-C49</f>
        <v>-2302088</v>
      </c>
      <c r="F49" s="23">
        <f t="shared" ref="F49:F56" si="3">IF(C49=0,0,E49/C49)</f>
        <v>-0.34269914234704807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5785222</v>
      </c>
      <c r="D50" s="22">
        <v>5083631</v>
      </c>
      <c r="E50" s="22">
        <f t="shared" si="2"/>
        <v>-701591</v>
      </c>
      <c r="F50" s="23">
        <f t="shared" si="3"/>
        <v>-0.12127296065734383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920996</v>
      </c>
      <c r="D51" s="22">
        <v>633085</v>
      </c>
      <c r="E51" s="22">
        <f t="shared" si="2"/>
        <v>-287911</v>
      </c>
      <c r="F51" s="23">
        <f t="shared" si="3"/>
        <v>-0.31260830665931233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230880</v>
      </c>
      <c r="D52" s="22">
        <v>169786</v>
      </c>
      <c r="E52" s="22">
        <f t="shared" si="2"/>
        <v>-61094</v>
      </c>
      <c r="F52" s="23">
        <f t="shared" si="3"/>
        <v>-0.26461365211365212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0</v>
      </c>
      <c r="D53" s="22">
        <v>0</v>
      </c>
      <c r="E53" s="22">
        <f t="shared" si="2"/>
        <v>0</v>
      </c>
      <c r="F53" s="23">
        <f t="shared" si="3"/>
        <v>0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2465236</v>
      </c>
      <c r="D55" s="22">
        <v>2567378</v>
      </c>
      <c r="E55" s="22">
        <f t="shared" si="2"/>
        <v>102142</v>
      </c>
      <c r="F55" s="23">
        <f t="shared" si="3"/>
        <v>4.1432950029936279E-2</v>
      </c>
    </row>
    <row r="56" spans="1:6" ht="24" customHeight="1" x14ac:dyDescent="0.25">
      <c r="A56" s="24"/>
      <c r="B56" s="25" t="s">
        <v>54</v>
      </c>
      <c r="C56" s="26">
        <f>SUM(C49:C55)</f>
        <v>16119853</v>
      </c>
      <c r="D56" s="26">
        <f>SUM(D49:D55)</f>
        <v>12869311</v>
      </c>
      <c r="E56" s="26">
        <f t="shared" si="2"/>
        <v>-3250542</v>
      </c>
      <c r="F56" s="27">
        <f t="shared" si="3"/>
        <v>-0.20164836490754598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0</v>
      </c>
      <c r="D59" s="22">
        <v>0</v>
      </c>
      <c r="E59" s="22">
        <f>D59-C59</f>
        <v>0</v>
      </c>
      <c r="F59" s="23">
        <f>IF(C59=0,0,E59/C59)</f>
        <v>0</v>
      </c>
    </row>
    <row r="60" spans="1:6" ht="24" customHeight="1" x14ac:dyDescent="0.2">
      <c r="A60" s="20">
        <v>2</v>
      </c>
      <c r="B60" s="21" t="s">
        <v>57</v>
      </c>
      <c r="C60" s="22">
        <v>8000000</v>
      </c>
      <c r="D60" s="22">
        <v>8000000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8000000</v>
      </c>
      <c r="D61" s="26">
        <f>SUM(D59:D60)</f>
        <v>8000000</v>
      </c>
      <c r="E61" s="26">
        <f>D61-C61</f>
        <v>0</v>
      </c>
      <c r="F61" s="27">
        <f>IF(C61=0,0,E61/C61)</f>
        <v>0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32759034</v>
      </c>
      <c r="D63" s="22">
        <v>38712756</v>
      </c>
      <c r="E63" s="22">
        <f>D63-C63</f>
        <v>5953722</v>
      </c>
      <c r="F63" s="23">
        <f>IF(C63=0,0,E63/C63)</f>
        <v>0.1817429048732023</v>
      </c>
    </row>
    <row r="64" spans="1:6" ht="24" customHeight="1" x14ac:dyDescent="0.2">
      <c r="A64" s="20">
        <v>4</v>
      </c>
      <c r="B64" s="21" t="s">
        <v>60</v>
      </c>
      <c r="C64" s="22">
        <v>6994390</v>
      </c>
      <c r="D64" s="22">
        <v>5688788</v>
      </c>
      <c r="E64" s="22">
        <f>D64-C64</f>
        <v>-1305602</v>
      </c>
      <c r="F64" s="23">
        <f>IF(C64=0,0,E64/C64)</f>
        <v>-0.18666416942721237</v>
      </c>
    </row>
    <row r="65" spans="1:6" ht="24" customHeight="1" x14ac:dyDescent="0.25">
      <c r="A65" s="24"/>
      <c r="B65" s="25" t="s">
        <v>61</v>
      </c>
      <c r="C65" s="26">
        <f>SUM(C61:C64)</f>
        <v>47753424</v>
      </c>
      <c r="D65" s="26">
        <f>SUM(D61:D64)</f>
        <v>52401544</v>
      </c>
      <c r="E65" s="26">
        <f>D65-C65</f>
        <v>4648120</v>
      </c>
      <c r="F65" s="27">
        <f>IF(C65=0,0,E65/C65)</f>
        <v>9.7335847582363938E-2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-22867574</v>
      </c>
      <c r="D70" s="22">
        <v>-29978671</v>
      </c>
      <c r="E70" s="22">
        <f>D70-C70</f>
        <v>-7111097</v>
      </c>
      <c r="F70" s="23">
        <f>IF(C70=0,0,E70/C70)</f>
        <v>0.31096857935170563</v>
      </c>
    </row>
    <row r="71" spans="1:6" ht="24" customHeight="1" x14ac:dyDescent="0.2">
      <c r="A71" s="20">
        <v>2</v>
      </c>
      <c r="B71" s="21" t="s">
        <v>65</v>
      </c>
      <c r="C71" s="22">
        <v>826677</v>
      </c>
      <c r="D71" s="22">
        <v>1097163</v>
      </c>
      <c r="E71" s="22">
        <f>D71-C71</f>
        <v>270486</v>
      </c>
      <c r="F71" s="23">
        <f>IF(C71=0,0,E71/C71)</f>
        <v>0.32719671649265675</v>
      </c>
    </row>
    <row r="72" spans="1:6" ht="24" customHeight="1" x14ac:dyDescent="0.2">
      <c r="A72" s="20">
        <v>3</v>
      </c>
      <c r="B72" s="21" t="s">
        <v>66</v>
      </c>
      <c r="C72" s="22">
        <v>673763</v>
      </c>
      <c r="D72" s="22">
        <v>673763</v>
      </c>
      <c r="E72" s="22">
        <f>D72-C72</f>
        <v>0</v>
      </c>
      <c r="F72" s="23">
        <f>IF(C72=0,0,E72/C72)</f>
        <v>0</v>
      </c>
    </row>
    <row r="73" spans="1:6" ht="24" customHeight="1" x14ac:dyDescent="0.25">
      <c r="A73" s="20"/>
      <c r="B73" s="25" t="s">
        <v>67</v>
      </c>
      <c r="C73" s="26">
        <f>SUM(C70:C72)</f>
        <v>-21367134</v>
      </c>
      <c r="D73" s="26">
        <f>SUM(D70:D72)</f>
        <v>-28207745</v>
      </c>
      <c r="E73" s="26">
        <f>D73-C73</f>
        <v>-6840611</v>
      </c>
      <c r="F73" s="27">
        <f>IF(C73=0,0,E73/C73)</f>
        <v>0.3201463986700322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42506143</v>
      </c>
      <c r="D75" s="26">
        <f>D56+D65+D67+D73</f>
        <v>37063110</v>
      </c>
      <c r="E75" s="26">
        <f>D75-C75</f>
        <v>-5443033</v>
      </c>
      <c r="F75" s="27">
        <f>IF(C75=0,0,E75/C75)</f>
        <v>-0.12805285579545525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9" fitToHeight="0" orientation="portrait" horizontalDpi="1200" verticalDpi="1200" r:id="rId1"/>
  <headerFooter>
    <oddHeader>&amp;LOFFICE OF HEALTH CARE ACCESS&amp;CTWELVE MONTHS ACTUAL FILING&amp;RMILFORD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68025386</v>
      </c>
      <c r="D11" s="76">
        <v>64899709</v>
      </c>
      <c r="E11" s="76">
        <v>67105682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2438403</v>
      </c>
      <c r="D12" s="185">
        <v>4647727</v>
      </c>
      <c r="E12" s="185">
        <v>6894033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70463789</v>
      </c>
      <c r="D13" s="76">
        <f>+D11+D12</f>
        <v>69547436</v>
      </c>
      <c r="E13" s="76">
        <f>+E11+E12</f>
        <v>73999715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81583595</v>
      </c>
      <c r="D14" s="185">
        <v>77415816</v>
      </c>
      <c r="E14" s="185">
        <v>76178411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-11119806</v>
      </c>
      <c r="D15" s="76">
        <f>+D13-D14</f>
        <v>-7868380</v>
      </c>
      <c r="E15" s="76">
        <f>+E13-E14</f>
        <v>-2178696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1447081</v>
      </c>
      <c r="D16" s="185">
        <v>1211823</v>
      </c>
      <c r="E16" s="185">
        <v>1130276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-9672725</v>
      </c>
      <c r="D17" s="76">
        <f>D15+D16</f>
        <v>-6656557</v>
      </c>
      <c r="E17" s="76">
        <f>E15+E16</f>
        <v>-1048420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-0.15463317298205403</v>
      </c>
      <c r="D20" s="189">
        <f>IF(+D27=0,0,+D24/+D27)</f>
        <v>-0.11119929902035859</v>
      </c>
      <c r="E20" s="189">
        <f>IF(+E27=0,0,+E24/+E27)</f>
        <v>-2.8999018514457162E-2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2.0123258138859953E-2</v>
      </c>
      <c r="D21" s="189">
        <f>IF(+D27=0,0,+D26/+D27)</f>
        <v>1.712599901590264E-2</v>
      </c>
      <c r="E21" s="189">
        <f>IF(+E27=0,0,+E26/+E27)</f>
        <v>1.5044271734306476E-2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-0.13450991484319408</v>
      </c>
      <c r="D22" s="189">
        <f>IF(+D27=0,0,+D28/+D27)</f>
        <v>-9.4073300004455948E-2</v>
      </c>
      <c r="E22" s="189">
        <f>IF(+E27=0,0,+E28/+E27)</f>
        <v>-1.3954746780150686E-2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-11119806</v>
      </c>
      <c r="D24" s="76">
        <f>+D15</f>
        <v>-7868380</v>
      </c>
      <c r="E24" s="76">
        <f>+E15</f>
        <v>-2178696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70463789</v>
      </c>
      <c r="D25" s="76">
        <f>+D13</f>
        <v>69547436</v>
      </c>
      <c r="E25" s="76">
        <f>+E13</f>
        <v>73999715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1447081</v>
      </c>
      <c r="D26" s="76">
        <f>+D16</f>
        <v>1211823</v>
      </c>
      <c r="E26" s="76">
        <f>+E16</f>
        <v>1130276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71910870</v>
      </c>
      <c r="D27" s="76">
        <f>SUM(D25:D26)</f>
        <v>70759259</v>
      </c>
      <c r="E27" s="76">
        <f>SUM(E25:E26)</f>
        <v>75129991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-9672725</v>
      </c>
      <c r="D28" s="76">
        <f>+D17</f>
        <v>-6656557</v>
      </c>
      <c r="E28" s="76">
        <f>+E17</f>
        <v>-1048420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5129446</v>
      </c>
      <c r="D31" s="76">
        <v>-14756915</v>
      </c>
      <c r="E31" s="76">
        <v>-21716374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6643686</v>
      </c>
      <c r="D32" s="76">
        <v>-13242675</v>
      </c>
      <c r="E32" s="76">
        <v>-19945448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-11700555</v>
      </c>
      <c r="D33" s="76">
        <f>+D32-C32</f>
        <v>-19886361</v>
      </c>
      <c r="E33" s="76">
        <f>+E32-D32</f>
        <v>-6702773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0.36209999999999998</v>
      </c>
      <c r="D34" s="193">
        <f>IF(C32=0,0,+D33/C32)</f>
        <v>-2.9932722588033207</v>
      </c>
      <c r="E34" s="193">
        <f>IF(D32=0,0,+E33/D32)</f>
        <v>0.50614947508717079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1.0460805607726931</v>
      </c>
      <c r="D38" s="338">
        <f>IF(+D40=0,0,+D39/+D40)</f>
        <v>1.0507957850390515</v>
      </c>
      <c r="E38" s="338">
        <f>IF(+E40=0,0,+E39/+E40)</f>
        <v>1.113815903226435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19631456</v>
      </c>
      <c r="D39" s="341">
        <v>16936841</v>
      </c>
      <c r="E39" s="341">
        <v>14519840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18766677</v>
      </c>
      <c r="D40" s="341">
        <v>16118109</v>
      </c>
      <c r="E40" s="341">
        <v>13036122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36.129251310577637</v>
      </c>
      <c r="D42" s="343">
        <f>IF((D48/365)=0,0,+D45/(D48/365))</f>
        <v>26.953309525816042</v>
      </c>
      <c r="E42" s="343">
        <f>IF((E48/365)=0,0,+E45/(E48/365))</f>
        <v>22.23964039368088</v>
      </c>
    </row>
    <row r="43" spans="1:14" ht="24" customHeight="1" x14ac:dyDescent="0.2">
      <c r="A43" s="339">
        <v>5</v>
      </c>
      <c r="B43" s="344" t="s">
        <v>16</v>
      </c>
      <c r="C43" s="345">
        <v>7667186</v>
      </c>
      <c r="D43" s="345">
        <v>1974260</v>
      </c>
      <c r="E43" s="345">
        <v>3160226</v>
      </c>
    </row>
    <row r="44" spans="1:14" ht="24" customHeight="1" x14ac:dyDescent="0.2">
      <c r="A44" s="339">
        <v>6</v>
      </c>
      <c r="B44" s="346" t="s">
        <v>17</v>
      </c>
      <c r="C44" s="345">
        <v>112417</v>
      </c>
      <c r="D44" s="345">
        <v>3538211</v>
      </c>
      <c r="E44" s="345">
        <v>1320027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7779603</v>
      </c>
      <c r="D45" s="341">
        <f>+D43+D44</f>
        <v>5512471</v>
      </c>
      <c r="E45" s="341">
        <f>+E43+E44</f>
        <v>4480253</v>
      </c>
    </row>
    <row r="46" spans="1:14" ht="24" customHeight="1" x14ac:dyDescent="0.2">
      <c r="A46" s="339">
        <v>8</v>
      </c>
      <c r="B46" s="340" t="s">
        <v>334</v>
      </c>
      <c r="C46" s="341">
        <f>+C14</f>
        <v>81583595</v>
      </c>
      <c r="D46" s="341">
        <f>+D14</f>
        <v>77415816</v>
      </c>
      <c r="E46" s="341">
        <f>+E14</f>
        <v>76178411</v>
      </c>
    </row>
    <row r="47" spans="1:14" ht="24" customHeight="1" x14ac:dyDescent="0.2">
      <c r="A47" s="339">
        <v>9</v>
      </c>
      <c r="B47" s="340" t="s">
        <v>356</v>
      </c>
      <c r="C47" s="341">
        <v>2989243</v>
      </c>
      <c r="D47" s="341">
        <v>2766285</v>
      </c>
      <c r="E47" s="341">
        <v>2647890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78594352</v>
      </c>
      <c r="D48" s="341">
        <f>+D46-D47</f>
        <v>74649531</v>
      </c>
      <c r="E48" s="341">
        <f>+E46-E47</f>
        <v>73530521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40.26638908010019</v>
      </c>
      <c r="D50" s="350">
        <f>IF((D55/365)=0,0,+D54/(D55/365))</f>
        <v>47.633270358731501</v>
      </c>
      <c r="E50" s="350">
        <f>IF((E55/365)=0,0,+E54/(E55/365))</f>
        <v>37.560579519927984</v>
      </c>
    </row>
    <row r="51" spans="1:5" ht="24" customHeight="1" x14ac:dyDescent="0.2">
      <c r="A51" s="339">
        <v>12</v>
      </c>
      <c r="B51" s="344" t="s">
        <v>359</v>
      </c>
      <c r="C51" s="351">
        <v>9919854</v>
      </c>
      <c r="D51" s="351">
        <v>9571176</v>
      </c>
      <c r="E51" s="351">
        <v>7709070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2415370</v>
      </c>
      <c r="D53" s="341">
        <v>1101627</v>
      </c>
      <c r="E53" s="341">
        <v>803513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7504484</v>
      </c>
      <c r="D54" s="352">
        <f>+D51+D52-D53</f>
        <v>8469549</v>
      </c>
      <c r="E54" s="352">
        <f>+E51+E52-E53</f>
        <v>6905557</v>
      </c>
    </row>
    <row r="55" spans="1:5" ht="24" customHeight="1" x14ac:dyDescent="0.2">
      <c r="A55" s="339">
        <v>16</v>
      </c>
      <c r="B55" s="340" t="s">
        <v>75</v>
      </c>
      <c r="C55" s="341">
        <f>+C11</f>
        <v>68025386</v>
      </c>
      <c r="D55" s="341">
        <f>+D11</f>
        <v>64899709</v>
      </c>
      <c r="E55" s="341">
        <f>+E11</f>
        <v>67105682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87.15431746291388</v>
      </c>
      <c r="D57" s="355">
        <f>IF((D61/365)=0,0,+D58/(D61/365))</f>
        <v>78.80973538869253</v>
      </c>
      <c r="E57" s="355">
        <f>IF((E61/365)=0,0,+E58/(E61/365))</f>
        <v>64.71033341379426</v>
      </c>
    </row>
    <row r="58" spans="1:5" ht="24" customHeight="1" x14ac:dyDescent="0.2">
      <c r="A58" s="339">
        <v>18</v>
      </c>
      <c r="B58" s="340" t="s">
        <v>54</v>
      </c>
      <c r="C58" s="353">
        <f>+C40</f>
        <v>18766677</v>
      </c>
      <c r="D58" s="353">
        <f>+D40</f>
        <v>16118109</v>
      </c>
      <c r="E58" s="353">
        <f>+E40</f>
        <v>13036122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81583595</v>
      </c>
      <c r="D59" s="353">
        <f t="shared" si="0"/>
        <v>77415816</v>
      </c>
      <c r="E59" s="353">
        <f t="shared" si="0"/>
        <v>76178411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2989243</v>
      </c>
      <c r="D60" s="356">
        <f t="shared" si="0"/>
        <v>2766285</v>
      </c>
      <c r="E60" s="356">
        <f t="shared" si="0"/>
        <v>2647890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78594352</v>
      </c>
      <c r="D61" s="353">
        <f>+D59-D60</f>
        <v>74649531</v>
      </c>
      <c r="E61" s="353">
        <f>+E59-E60</f>
        <v>73530521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10.039313840609807</v>
      </c>
      <c r="D65" s="357">
        <f>IF(D67=0,0,(D66/D67)*100)</f>
        <v>-21.468809672734551</v>
      </c>
      <c r="E65" s="357">
        <f>IF(E67=0,0,(E66/E67)*100)</f>
        <v>-35.94059737427083</v>
      </c>
    </row>
    <row r="66" spans="1:5" ht="24" customHeight="1" x14ac:dyDescent="0.2">
      <c r="A66" s="339">
        <v>2</v>
      </c>
      <c r="B66" s="340" t="s">
        <v>67</v>
      </c>
      <c r="C66" s="353">
        <f>+C32</f>
        <v>6643686</v>
      </c>
      <c r="D66" s="353">
        <f>+D32</f>
        <v>-13242675</v>
      </c>
      <c r="E66" s="353">
        <f>+E32</f>
        <v>-19945448</v>
      </c>
    </row>
    <row r="67" spans="1:5" ht="24" customHeight="1" x14ac:dyDescent="0.2">
      <c r="A67" s="339">
        <v>3</v>
      </c>
      <c r="B67" s="340" t="s">
        <v>43</v>
      </c>
      <c r="C67" s="353">
        <v>66176694</v>
      </c>
      <c r="D67" s="353">
        <v>61683322</v>
      </c>
      <c r="E67" s="353">
        <v>55495594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-21.380847878384603</v>
      </c>
      <c r="D69" s="357">
        <f>IF(D75=0,0,(D72/D75)*100)</f>
        <v>-12.771513571328677</v>
      </c>
      <c r="E69" s="357">
        <f>IF(E75=0,0,(E72/E75)*100)</f>
        <v>5.8766342916033647</v>
      </c>
    </row>
    <row r="70" spans="1:5" ht="24" customHeight="1" x14ac:dyDescent="0.2">
      <c r="A70" s="339">
        <v>5</v>
      </c>
      <c r="B70" s="340" t="s">
        <v>366</v>
      </c>
      <c r="C70" s="353">
        <f>+C28</f>
        <v>-9672725</v>
      </c>
      <c r="D70" s="353">
        <f>+D28</f>
        <v>-6656557</v>
      </c>
      <c r="E70" s="353">
        <f>+E28</f>
        <v>-1048420</v>
      </c>
    </row>
    <row r="71" spans="1:5" ht="24" customHeight="1" x14ac:dyDescent="0.2">
      <c r="A71" s="339">
        <v>6</v>
      </c>
      <c r="B71" s="340" t="s">
        <v>356</v>
      </c>
      <c r="C71" s="356">
        <f>+C47</f>
        <v>2989243</v>
      </c>
      <c r="D71" s="356">
        <f>+D47</f>
        <v>2766285</v>
      </c>
      <c r="E71" s="356">
        <f>+E47</f>
        <v>2647890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-6683482</v>
      </c>
      <c r="D72" s="353">
        <f>+D70+D71</f>
        <v>-3890272</v>
      </c>
      <c r="E72" s="353">
        <f>+E70+E71</f>
        <v>1599470</v>
      </c>
    </row>
    <row r="73" spans="1:5" ht="24" customHeight="1" x14ac:dyDescent="0.2">
      <c r="A73" s="339">
        <v>8</v>
      </c>
      <c r="B73" s="340" t="s">
        <v>54</v>
      </c>
      <c r="C73" s="341">
        <f>+C40</f>
        <v>18766677</v>
      </c>
      <c r="D73" s="341">
        <f>+D40</f>
        <v>16118109</v>
      </c>
      <c r="E73" s="341">
        <f>+E40</f>
        <v>13036122</v>
      </c>
    </row>
    <row r="74" spans="1:5" ht="24" customHeight="1" x14ac:dyDescent="0.2">
      <c r="A74" s="339">
        <v>9</v>
      </c>
      <c r="B74" s="340" t="s">
        <v>58</v>
      </c>
      <c r="C74" s="353">
        <v>12492523</v>
      </c>
      <c r="D74" s="353">
        <v>14342431</v>
      </c>
      <c r="E74" s="353">
        <v>14181328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31259200</v>
      </c>
      <c r="D75" s="341">
        <f>+D73+D74</f>
        <v>30460540</v>
      </c>
      <c r="E75" s="341">
        <f>+E73+E74</f>
        <v>27217450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65.282120403262738</v>
      </c>
      <c r="D77" s="359">
        <f>IF(D80=0,0,(D78/D80)*100)</f>
        <v>1304.1466470744419</v>
      </c>
      <c r="E77" s="359">
        <f>IF(E80=0,0,(E78/E80)*100)</f>
        <v>-246.02763301249803</v>
      </c>
    </row>
    <row r="78" spans="1:5" ht="24" customHeight="1" x14ac:dyDescent="0.2">
      <c r="A78" s="339">
        <v>12</v>
      </c>
      <c r="B78" s="340" t="s">
        <v>58</v>
      </c>
      <c r="C78" s="341">
        <f>+C74</f>
        <v>12492523</v>
      </c>
      <c r="D78" s="341">
        <f>+D74</f>
        <v>14342431</v>
      </c>
      <c r="E78" s="341">
        <f>+E74</f>
        <v>14181328</v>
      </c>
    </row>
    <row r="79" spans="1:5" ht="24" customHeight="1" x14ac:dyDescent="0.2">
      <c r="A79" s="339">
        <v>13</v>
      </c>
      <c r="B79" s="340" t="s">
        <v>67</v>
      </c>
      <c r="C79" s="341">
        <f>+C32</f>
        <v>6643686</v>
      </c>
      <c r="D79" s="341">
        <f>+D32</f>
        <v>-13242675</v>
      </c>
      <c r="E79" s="341">
        <f>+E32</f>
        <v>-19945448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19136209</v>
      </c>
      <c r="D80" s="341">
        <f>+D78+D79</f>
        <v>1099756</v>
      </c>
      <c r="E80" s="341">
        <f>+E78+E79</f>
        <v>-5764120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4" fitToHeight="0" orientation="portrait" horizontalDpi="1200" verticalDpi="1200" r:id="rId1"/>
  <headerFooter>
    <oddHeader>_x000D_
                &amp;L&amp;8OFFICE OF HEALTH CARE ACCESS&amp;C&amp;8TWELVE MONTHS ACTUAL FILING&amp;R&amp;8MILFORD HEALTH &amp;AMP; MEDICAL, 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9040</v>
      </c>
      <c r="D11" s="376">
        <v>2880</v>
      </c>
      <c r="E11" s="376">
        <v>2880</v>
      </c>
      <c r="F11" s="377">
        <v>25</v>
      </c>
      <c r="G11" s="377">
        <v>78</v>
      </c>
      <c r="H11" s="378">
        <f>IF(F11=0,0,$C11/(F11*365))</f>
        <v>0.99068493150684933</v>
      </c>
      <c r="I11" s="378">
        <f>IF(G11=0,0,$C11/(G11*365))</f>
        <v>0.31752722163681069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2031</v>
      </c>
      <c r="D13" s="376">
        <v>501</v>
      </c>
      <c r="E13" s="376">
        <v>0</v>
      </c>
      <c r="F13" s="377">
        <v>6</v>
      </c>
      <c r="G13" s="377">
        <v>10</v>
      </c>
      <c r="H13" s="378">
        <f>IF(F13=0,0,$C13/(F13*365))</f>
        <v>0.92739726027397262</v>
      </c>
      <c r="I13" s="378">
        <f>IF(G13=0,0,$C13/(G13*365))</f>
        <v>0.55643835616438353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0</v>
      </c>
      <c r="D16" s="376">
        <v>0</v>
      </c>
      <c r="E16" s="376">
        <v>0</v>
      </c>
      <c r="F16" s="377">
        <v>0</v>
      </c>
      <c r="G16" s="377">
        <v>0</v>
      </c>
      <c r="H16" s="378">
        <f t="shared" si="0"/>
        <v>0</v>
      </c>
      <c r="I16" s="378">
        <f t="shared" si="0"/>
        <v>0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0</v>
      </c>
      <c r="D17" s="381">
        <f>SUM(D15:D16)</f>
        <v>0</v>
      </c>
      <c r="E17" s="381">
        <f>SUM(E15:E16)</f>
        <v>0</v>
      </c>
      <c r="F17" s="381">
        <f>SUM(F15:F16)</f>
        <v>0</v>
      </c>
      <c r="G17" s="381">
        <f>SUM(G15:G16)</f>
        <v>0</v>
      </c>
      <c r="H17" s="382">
        <f t="shared" si="0"/>
        <v>0</v>
      </c>
      <c r="I17" s="382">
        <f t="shared" si="0"/>
        <v>0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0</v>
      </c>
      <c r="D21" s="376">
        <v>0</v>
      </c>
      <c r="E21" s="376">
        <v>0</v>
      </c>
      <c r="F21" s="377">
        <v>0</v>
      </c>
      <c r="G21" s="377">
        <v>12</v>
      </c>
      <c r="H21" s="378">
        <f>IF(F21=0,0,$C21/(F21*365))</f>
        <v>0</v>
      </c>
      <c r="I21" s="378">
        <f>IF(G21=0,0,$C21/(G21*365))</f>
        <v>0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0</v>
      </c>
      <c r="D23" s="376">
        <v>0</v>
      </c>
      <c r="E23" s="376">
        <v>0</v>
      </c>
      <c r="F23" s="377">
        <v>0</v>
      </c>
      <c r="G23" s="377">
        <v>12</v>
      </c>
      <c r="H23" s="378">
        <f>IF(F23=0,0,$C23/(F23*365))</f>
        <v>0</v>
      </c>
      <c r="I23" s="378">
        <f>IF(G23=0,0,$C23/(G23*365))</f>
        <v>0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6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11071</v>
      </c>
      <c r="D31" s="384">
        <f>SUM(D10:D29)-D13-D17-D23</f>
        <v>2880</v>
      </c>
      <c r="E31" s="384">
        <f>SUM(E10:E29)-E17-E23</f>
        <v>2880</v>
      </c>
      <c r="F31" s="384">
        <f>SUM(F10:F29)-F17-F23</f>
        <v>31</v>
      </c>
      <c r="G31" s="384">
        <f>SUM(G10:G29)-G17-G23</f>
        <v>106</v>
      </c>
      <c r="H31" s="385">
        <f>IF(F31=0,0,$C31/(F31*365))</f>
        <v>0.97843570481661513</v>
      </c>
      <c r="I31" s="385">
        <f>IF(G31=0,0,$C31/(G31*365))</f>
        <v>0.28614629103127426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11071</v>
      </c>
      <c r="D33" s="384">
        <f>SUM(D10:D29)-D13-D17</f>
        <v>2880</v>
      </c>
      <c r="E33" s="384">
        <f>SUM(E10:E29)-E17</f>
        <v>2880</v>
      </c>
      <c r="F33" s="384">
        <f>SUM(F10:F29)-F17</f>
        <v>31</v>
      </c>
      <c r="G33" s="384">
        <f>SUM(G10:G29)-G17</f>
        <v>118</v>
      </c>
      <c r="H33" s="385">
        <f>IF(F33=0,0,$C33/(F33*365))</f>
        <v>0.97843570481661513</v>
      </c>
      <c r="I33" s="385">
        <f>IF(G33=0,0,$C33/(G33*365))</f>
        <v>0.25704666821453448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11071</v>
      </c>
      <c r="D36" s="384">
        <f t="shared" si="1"/>
        <v>2880</v>
      </c>
      <c r="E36" s="384">
        <f t="shared" si="1"/>
        <v>2880</v>
      </c>
      <c r="F36" s="384">
        <f t="shared" si="1"/>
        <v>31</v>
      </c>
      <c r="G36" s="384">
        <f t="shared" si="1"/>
        <v>118</v>
      </c>
      <c r="H36" s="387">
        <f t="shared" si="1"/>
        <v>0.97843570481661513</v>
      </c>
      <c r="I36" s="387">
        <f t="shared" si="1"/>
        <v>0.25704666821453448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12110</v>
      </c>
      <c r="D37" s="384">
        <v>3201</v>
      </c>
      <c r="E37" s="384">
        <v>3288</v>
      </c>
      <c r="F37" s="386">
        <v>41</v>
      </c>
      <c r="G37" s="386">
        <v>118</v>
      </c>
      <c r="H37" s="385">
        <f>IF(F37=0,0,$C37/(F37*365))</f>
        <v>0.80922151687270294</v>
      </c>
      <c r="I37" s="385">
        <f>IF(G37=0,0,$C37/(G37*365))</f>
        <v>0.28117018806593919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-1039</v>
      </c>
      <c r="D38" s="384">
        <f t="shared" si="2"/>
        <v>-321</v>
      </c>
      <c r="E38" s="384">
        <f t="shared" si="2"/>
        <v>-408</v>
      </c>
      <c r="F38" s="384">
        <f t="shared" si="2"/>
        <v>-10</v>
      </c>
      <c r="G38" s="384">
        <f t="shared" si="2"/>
        <v>0</v>
      </c>
      <c r="H38" s="387">
        <f t="shared" si="2"/>
        <v>0.16921418794391219</v>
      </c>
      <c r="I38" s="387">
        <f t="shared" si="2"/>
        <v>-2.4123519851404707E-2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-8.5796862097440127E-2</v>
      </c>
      <c r="D40" s="389">
        <f t="shared" si="3"/>
        <v>-0.10028116213683223</v>
      </c>
      <c r="E40" s="389">
        <f t="shared" si="3"/>
        <v>-0.12408759124087591</v>
      </c>
      <c r="F40" s="389">
        <f t="shared" si="3"/>
        <v>-0.24390243902439024</v>
      </c>
      <c r="G40" s="389">
        <f t="shared" si="3"/>
        <v>0</v>
      </c>
      <c r="H40" s="389">
        <f t="shared" si="3"/>
        <v>0.20910737593564377</v>
      </c>
      <c r="I40" s="389">
        <f t="shared" si="3"/>
        <v>-8.5796862097440182E-2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118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FILING&amp;RMILFORD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483</v>
      </c>
      <c r="D12" s="409">
        <v>574</v>
      </c>
      <c r="E12" s="409">
        <f>+D12-C12</f>
        <v>91</v>
      </c>
      <c r="F12" s="410">
        <f>IF(C12=0,0,+E12/C12)</f>
        <v>0.18840579710144928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1371</v>
      </c>
      <c r="D13" s="409">
        <v>1083</v>
      </c>
      <c r="E13" s="409">
        <f>+D13-C13</f>
        <v>-288</v>
      </c>
      <c r="F13" s="410">
        <f>IF(C13=0,0,+E13/C13)</f>
        <v>-0.21006564551422319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6124</v>
      </c>
      <c r="D14" s="409">
        <v>5945</v>
      </c>
      <c r="E14" s="409">
        <f>+D14-C14</f>
        <v>-179</v>
      </c>
      <c r="F14" s="410">
        <f>IF(C14=0,0,+E14/C14)</f>
        <v>-2.9229261920313519E-2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7978</v>
      </c>
      <c r="D16" s="401">
        <f>SUM(D12:D15)</f>
        <v>7602</v>
      </c>
      <c r="E16" s="401">
        <f>+D16-C16</f>
        <v>-376</v>
      </c>
      <c r="F16" s="402">
        <f>IF(C16=0,0,+E16/C16)</f>
        <v>-4.7129606417648531E-2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165</v>
      </c>
      <c r="D19" s="409">
        <v>169</v>
      </c>
      <c r="E19" s="409">
        <f>+D19-C19</f>
        <v>4</v>
      </c>
      <c r="F19" s="410">
        <f>IF(C19=0,0,+E19/C19)</f>
        <v>2.4242424242424242E-2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1110</v>
      </c>
      <c r="D20" s="409">
        <v>861</v>
      </c>
      <c r="E20" s="409">
        <f>+D20-C20</f>
        <v>-249</v>
      </c>
      <c r="F20" s="410">
        <f>IF(C20=0,0,+E20/C20)</f>
        <v>-0.22432432432432434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229</v>
      </c>
      <c r="D21" s="409">
        <v>163</v>
      </c>
      <c r="E21" s="409">
        <f>+D21-C21</f>
        <v>-66</v>
      </c>
      <c r="F21" s="410">
        <f>IF(C21=0,0,+E21/C21)</f>
        <v>-0.28820960698689957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1504</v>
      </c>
      <c r="D23" s="401">
        <f>SUM(D19:D22)</f>
        <v>1193</v>
      </c>
      <c r="E23" s="401">
        <f>+D23-C23</f>
        <v>-311</v>
      </c>
      <c r="F23" s="402">
        <f>IF(C23=0,0,+E23/C23)</f>
        <v>-0.20678191489361702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53</v>
      </c>
      <c r="D34" s="409">
        <v>60</v>
      </c>
      <c r="E34" s="409">
        <f>+D34-C34</f>
        <v>7</v>
      </c>
      <c r="F34" s="410">
        <f>IF(C34=0,0,+E34/C34)</f>
        <v>0.13207547169811321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53</v>
      </c>
      <c r="D37" s="401">
        <f>SUM(D33:D36)</f>
        <v>60</v>
      </c>
      <c r="E37" s="401">
        <f>+D37-C37</f>
        <v>7</v>
      </c>
      <c r="F37" s="402">
        <f>IF(C37=0,0,+E37/C37)</f>
        <v>0.13207547169811321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1001</v>
      </c>
      <c r="D63" s="409">
        <v>1053</v>
      </c>
      <c r="E63" s="409">
        <f>+D63-C63</f>
        <v>52</v>
      </c>
      <c r="F63" s="410">
        <f>IF(C63=0,0,+E63/C63)</f>
        <v>5.1948051948051951E-2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1471</v>
      </c>
      <c r="D64" s="409">
        <v>1518</v>
      </c>
      <c r="E64" s="409">
        <f>+D64-C64</f>
        <v>47</v>
      </c>
      <c r="F64" s="410">
        <f>IF(C64=0,0,+E64/C64)</f>
        <v>3.1951053704962609E-2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2472</v>
      </c>
      <c r="D65" s="401">
        <f>SUM(D63:D64)</f>
        <v>2571</v>
      </c>
      <c r="E65" s="401">
        <f>+D65-C65</f>
        <v>99</v>
      </c>
      <c r="F65" s="402">
        <f>IF(C65=0,0,+E65/C65)</f>
        <v>4.0048543689320391E-2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214</v>
      </c>
      <c r="D68" s="409">
        <v>249</v>
      </c>
      <c r="E68" s="409">
        <f>+D68-C68</f>
        <v>35</v>
      </c>
      <c r="F68" s="410">
        <f>IF(C68=0,0,+E68/C68)</f>
        <v>0.16355140186915887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1787</v>
      </c>
      <c r="D69" s="409">
        <v>2025</v>
      </c>
      <c r="E69" s="409">
        <f>+D69-C69</f>
        <v>238</v>
      </c>
      <c r="F69" s="412">
        <f>IF(C69=0,0,+E69/C69)</f>
        <v>0.13318410744264131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2001</v>
      </c>
      <c r="D70" s="401">
        <f>SUM(D68:D69)</f>
        <v>2274</v>
      </c>
      <c r="E70" s="401">
        <f>+D70-C70</f>
        <v>273</v>
      </c>
      <c r="F70" s="402">
        <f>IF(C70=0,0,+E70/C70)</f>
        <v>0.13643178410794601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3031</v>
      </c>
      <c r="D73" s="376">
        <v>2602</v>
      </c>
      <c r="E73" s="409">
        <f>+D73-C73</f>
        <v>-429</v>
      </c>
      <c r="F73" s="410">
        <f>IF(C73=0,0,+E73/C73)</f>
        <v>-0.1415374463873309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18664</v>
      </c>
      <c r="D74" s="376">
        <v>18704</v>
      </c>
      <c r="E74" s="409">
        <f>+D74-C74</f>
        <v>40</v>
      </c>
      <c r="F74" s="410">
        <f>IF(C74=0,0,+E74/C74)</f>
        <v>2.1431633090441492E-3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21695</v>
      </c>
      <c r="D75" s="401">
        <f>SUM(D73:D74)</f>
        <v>21306</v>
      </c>
      <c r="E75" s="401">
        <f>SUM(E73:E74)</f>
        <v>-389</v>
      </c>
      <c r="F75" s="402">
        <f>IF(C75=0,0,+E75/C75)</f>
        <v>-1.7930398709380041E-2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10532</v>
      </c>
      <c r="D84" s="376">
        <v>10065</v>
      </c>
      <c r="E84" s="409">
        <f t="shared" si="0"/>
        <v>-467</v>
      </c>
      <c r="F84" s="410">
        <f t="shared" si="1"/>
        <v>-4.4341055829851879E-2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10532</v>
      </c>
      <c r="D92" s="381">
        <f>SUM(D79:D91)</f>
        <v>10065</v>
      </c>
      <c r="E92" s="401">
        <f t="shared" si="0"/>
        <v>-467</v>
      </c>
      <c r="F92" s="402">
        <f t="shared" si="1"/>
        <v>-4.4341055829851879E-2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0</v>
      </c>
      <c r="D95" s="414">
        <v>0</v>
      </c>
      <c r="E95" s="415">
        <f t="shared" ref="E95:E100" si="2">+D95-C95</f>
        <v>0</v>
      </c>
      <c r="F95" s="412">
        <f t="shared" ref="F95:F100" si="3">IF(C95=0,0,+E95/C95)</f>
        <v>0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0</v>
      </c>
      <c r="D96" s="414">
        <v>0</v>
      </c>
      <c r="E96" s="409">
        <f t="shared" si="2"/>
        <v>0</v>
      </c>
      <c r="F96" s="410">
        <f t="shared" si="3"/>
        <v>0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0</v>
      </c>
      <c r="D97" s="414">
        <v>0</v>
      </c>
      <c r="E97" s="409">
        <f t="shared" si="2"/>
        <v>0</v>
      </c>
      <c r="F97" s="410">
        <f t="shared" si="3"/>
        <v>0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0</v>
      </c>
      <c r="D98" s="414">
        <v>0</v>
      </c>
      <c r="E98" s="409">
        <f t="shared" si="2"/>
        <v>0</v>
      </c>
      <c r="F98" s="410">
        <f t="shared" si="3"/>
        <v>0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20400</v>
      </c>
      <c r="D99" s="414">
        <v>17923</v>
      </c>
      <c r="E99" s="409">
        <f t="shared" si="2"/>
        <v>-2477</v>
      </c>
      <c r="F99" s="410">
        <f t="shared" si="3"/>
        <v>-0.12142156862745097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20400</v>
      </c>
      <c r="D100" s="381">
        <f>SUM(D95:D99)</f>
        <v>17923</v>
      </c>
      <c r="E100" s="401">
        <f t="shared" si="2"/>
        <v>-2477</v>
      </c>
      <c r="F100" s="402">
        <f t="shared" si="3"/>
        <v>-0.12142156862745097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159.6</v>
      </c>
      <c r="D104" s="416">
        <v>172.9</v>
      </c>
      <c r="E104" s="417">
        <f>+D104-C104</f>
        <v>13.300000000000011</v>
      </c>
      <c r="F104" s="410">
        <f>IF(C104=0,0,+E104/C104)</f>
        <v>8.3333333333333412E-2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11</v>
      </c>
      <c r="D105" s="416">
        <v>16.100000000000001</v>
      </c>
      <c r="E105" s="417">
        <f>+D105-C105</f>
        <v>5.1000000000000014</v>
      </c>
      <c r="F105" s="410">
        <f>IF(C105=0,0,+E105/C105)</f>
        <v>0.46363636363636379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273.60000000000002</v>
      </c>
      <c r="D106" s="416">
        <v>245.9</v>
      </c>
      <c r="E106" s="417">
        <f>+D106-C106</f>
        <v>-27.700000000000017</v>
      </c>
      <c r="F106" s="410">
        <f>IF(C106=0,0,+E106/C106)</f>
        <v>-0.10124269005847959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444.20000000000005</v>
      </c>
      <c r="D107" s="418">
        <f>SUM(D104:D106)</f>
        <v>434.9</v>
      </c>
      <c r="E107" s="418">
        <f>+D107-C107</f>
        <v>-9.3000000000000682</v>
      </c>
      <c r="F107" s="402">
        <f>IF(C107=0,0,+E107/C107)</f>
        <v>-2.0936515083295963E-2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FILING&amp;RMILFORD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1471</v>
      </c>
      <c r="D12" s="409">
        <v>1518</v>
      </c>
      <c r="E12" s="409">
        <f>+D12-C12</f>
        <v>47</v>
      </c>
      <c r="F12" s="410">
        <f>IF(C12=0,0,+E12/C12)</f>
        <v>3.1951053704962609E-2</v>
      </c>
    </row>
    <row r="13" spans="1:6" ht="15.75" customHeight="1" x14ac:dyDescent="0.25">
      <c r="A13" s="374"/>
      <c r="B13" s="399" t="s">
        <v>622</v>
      </c>
      <c r="C13" s="401">
        <f>SUM(C11:C12)</f>
        <v>1471</v>
      </c>
      <c r="D13" s="401">
        <f>SUM(D11:D12)</f>
        <v>1518</v>
      </c>
      <c r="E13" s="401">
        <f>+D13-C13</f>
        <v>47</v>
      </c>
      <c r="F13" s="402">
        <f>IF(C13=0,0,+E13/C13)</f>
        <v>3.1951053704962609E-2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1787</v>
      </c>
      <c r="D16" s="409">
        <v>2025</v>
      </c>
      <c r="E16" s="409">
        <f>+D16-C16</f>
        <v>238</v>
      </c>
      <c r="F16" s="410">
        <f>IF(C16=0,0,+E16/C16)</f>
        <v>0.13318410744264131</v>
      </c>
    </row>
    <row r="17" spans="1:6" ht="15.75" customHeight="1" x14ac:dyDescent="0.25">
      <c r="A17" s="374"/>
      <c r="B17" s="399" t="s">
        <v>623</v>
      </c>
      <c r="C17" s="401">
        <f>SUM(C15:C16)</f>
        <v>1787</v>
      </c>
      <c r="D17" s="401">
        <f>SUM(D15:D16)</f>
        <v>2025</v>
      </c>
      <c r="E17" s="401">
        <f>+D17-C17</f>
        <v>238</v>
      </c>
      <c r="F17" s="402">
        <f>IF(C17=0,0,+E17/C17)</f>
        <v>0.13318410744264131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625</v>
      </c>
      <c r="C20" s="409">
        <v>0</v>
      </c>
      <c r="D20" s="409">
        <v>0</v>
      </c>
      <c r="E20" s="409">
        <f>+D20-C20</f>
        <v>0</v>
      </c>
      <c r="F20" s="410">
        <f>IF(C20=0,0,+E20/C20)</f>
        <v>0</v>
      </c>
    </row>
    <row r="21" spans="1:6" ht="15.75" customHeight="1" x14ac:dyDescent="0.2">
      <c r="A21" s="374">
        <v>2</v>
      </c>
      <c r="B21" s="408" t="s">
        <v>621</v>
      </c>
      <c r="C21" s="409">
        <v>18664</v>
      </c>
      <c r="D21" s="409">
        <v>18704</v>
      </c>
      <c r="E21" s="409">
        <f>+D21-C21</f>
        <v>40</v>
      </c>
      <c r="F21" s="410">
        <f>IF(C21=0,0,+E21/C21)</f>
        <v>2.1431633090441492E-3</v>
      </c>
    </row>
    <row r="22" spans="1:6" ht="15.75" customHeight="1" x14ac:dyDescent="0.25">
      <c r="A22" s="374"/>
      <c r="B22" s="399" t="s">
        <v>626</v>
      </c>
      <c r="C22" s="401">
        <f>SUM(C19:C21)</f>
        <v>18664</v>
      </c>
      <c r="D22" s="401">
        <f>SUM(D19:D21)</f>
        <v>18704</v>
      </c>
      <c r="E22" s="401">
        <f>+D22-C22</f>
        <v>40</v>
      </c>
      <c r="F22" s="402">
        <f>IF(C22=0,0,+E22/C22)</f>
        <v>2.1431633090441492E-3</v>
      </c>
    </row>
    <row r="23" spans="1:6" ht="15.75" customHeight="1" x14ac:dyDescent="0.25">
      <c r="A23" s="136"/>
      <c r="B23" s="399"/>
      <c r="C23" s="401"/>
      <c r="D23" s="401"/>
      <c r="E23" s="401"/>
      <c r="F23" s="402"/>
    </row>
    <row r="24" spans="1:6" ht="15.75" customHeight="1" x14ac:dyDescent="0.25">
      <c r="B24" s="810" t="s">
        <v>627</v>
      </c>
      <c r="C24" s="811"/>
      <c r="D24" s="811"/>
      <c r="E24" s="811"/>
      <c r="F24" s="812"/>
    </row>
    <row r="25" spans="1:6" ht="15.75" customHeight="1" x14ac:dyDescent="0.25">
      <c r="A25" s="392"/>
    </row>
    <row r="26" spans="1:6" ht="15.75" customHeight="1" x14ac:dyDescent="0.25">
      <c r="B26" s="810" t="s">
        <v>628</v>
      </c>
      <c r="C26" s="811"/>
      <c r="D26" s="811"/>
      <c r="E26" s="811"/>
      <c r="F26" s="812"/>
    </row>
    <row r="27" spans="1:6" ht="15.75" customHeight="1" x14ac:dyDescent="0.25">
      <c r="A27" s="392"/>
    </row>
    <row r="28" spans="1:6" ht="15.75" customHeight="1" x14ac:dyDescent="0.25">
      <c r="B28" s="810" t="s">
        <v>629</v>
      </c>
      <c r="C28" s="811"/>
      <c r="D28" s="811"/>
      <c r="E28" s="811"/>
      <c r="F28" s="812"/>
    </row>
    <row r="29" spans="1:6" ht="15.75" customHeight="1" x14ac:dyDescent="0.25">
      <c r="A29" s="392"/>
    </row>
  </sheetData>
  <mergeCells count="7">
    <mergeCell ref="B28:F28"/>
    <mergeCell ref="A1:F1"/>
    <mergeCell ref="A2:F2"/>
    <mergeCell ref="A3:F3"/>
    <mergeCell ref="A4:F4"/>
    <mergeCell ref="B24:F24"/>
    <mergeCell ref="B26:F26"/>
  </mergeCells>
  <printOptions gridLines="1"/>
  <pageMargins left="0.25" right="0.25" top="0.5" bottom="0.5" header="0.25" footer="0.25"/>
  <pageSetup paperSize="9" scale="80" orientation="portrait" horizontalDpi="1200" verticalDpi="1200" r:id="rId1"/>
  <headerFooter>
    <oddHeader>&amp;LOFFICE OF HEALTH CARE ACCESS&amp;CTWELVE MONTHS ACTUAL FILING&amp;RMILFORD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zoomScale="85" zoomScaleSheetLayoutView="80" workbookViewId="0">
      <selection sqref="A1:F1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68152688</v>
      </c>
      <c r="D15" s="448">
        <v>70193326</v>
      </c>
      <c r="E15" s="448">
        <f t="shared" ref="E15:E24" si="0">D15-C15</f>
        <v>2040638</v>
      </c>
      <c r="F15" s="449">
        <f t="shared" ref="F15:F24" si="1">IF(C15=0,0,E15/C15)</f>
        <v>2.9942149897301189E-2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19042627</v>
      </c>
      <c r="D16" s="448">
        <v>19869243</v>
      </c>
      <c r="E16" s="448">
        <f t="shared" si="0"/>
        <v>826616</v>
      </c>
      <c r="F16" s="449">
        <f t="shared" si="1"/>
        <v>4.3408716664985351E-2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0.27941123906954335</v>
      </c>
      <c r="D17" s="453">
        <f>IF(LN_IA1=0,0,LN_IA2/LN_IA1)</f>
        <v>0.28306456086722548</v>
      </c>
      <c r="E17" s="454">
        <f t="shared" si="0"/>
        <v>3.6533217976821297E-3</v>
      </c>
      <c r="F17" s="449">
        <f t="shared" si="1"/>
        <v>1.3075071030957511E-2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1941</v>
      </c>
      <c r="D18" s="456">
        <v>1789</v>
      </c>
      <c r="E18" s="456">
        <f t="shared" si="0"/>
        <v>-152</v>
      </c>
      <c r="F18" s="449">
        <f t="shared" si="1"/>
        <v>-7.8310149407521901E-2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1.4253</v>
      </c>
      <c r="D19" s="459">
        <v>1.5037</v>
      </c>
      <c r="E19" s="460">
        <f t="shared" si="0"/>
        <v>7.8400000000000025E-2</v>
      </c>
      <c r="F19" s="449">
        <f t="shared" si="1"/>
        <v>5.5005963656774029E-2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2766.5073000000002</v>
      </c>
      <c r="D20" s="463">
        <f>LN_IA4*LN_IA5</f>
        <v>2690.1192999999998</v>
      </c>
      <c r="E20" s="463">
        <f t="shared" si="0"/>
        <v>-76.388000000000375</v>
      </c>
      <c r="F20" s="449">
        <f t="shared" si="1"/>
        <v>-2.7611710983014709E-2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6883.2737220682548</v>
      </c>
      <c r="D21" s="465">
        <f>IF(LN_IA6=0,0,LN_IA2/LN_IA6)</f>
        <v>7386.0081223907064</v>
      </c>
      <c r="E21" s="465">
        <f t="shared" si="0"/>
        <v>502.73440032245162</v>
      </c>
      <c r="F21" s="449">
        <f t="shared" si="1"/>
        <v>7.3037107141424598E-2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8091</v>
      </c>
      <c r="D22" s="456">
        <v>7568</v>
      </c>
      <c r="E22" s="456">
        <f t="shared" si="0"/>
        <v>-523</v>
      </c>
      <c r="F22" s="449">
        <f t="shared" si="1"/>
        <v>-6.4639723149178097E-2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2353.5566679026078</v>
      </c>
      <c r="D23" s="465">
        <f>IF(LN_IA8=0,0,LN_IA2/LN_IA8)</f>
        <v>2625.4285147991545</v>
      </c>
      <c r="E23" s="465">
        <f t="shared" si="0"/>
        <v>271.87184689654669</v>
      </c>
      <c r="F23" s="449">
        <f t="shared" si="1"/>
        <v>0.11551531798842456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4.1684698608964448</v>
      </c>
      <c r="D24" s="466">
        <f>IF(LN_IA4=0,0,LN_IA8/LN_IA4)</f>
        <v>4.2302962548910008</v>
      </c>
      <c r="E24" s="466">
        <f t="shared" si="0"/>
        <v>6.1826393994556028E-2</v>
      </c>
      <c r="F24" s="449">
        <f t="shared" si="1"/>
        <v>1.4831915800696238E-2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34924535</v>
      </c>
      <c r="D27" s="448">
        <v>35862097</v>
      </c>
      <c r="E27" s="448">
        <f t="shared" ref="E27:E32" si="2">D27-C27</f>
        <v>937562</v>
      </c>
      <c r="F27" s="449">
        <f t="shared" ref="F27:F32" si="3">IF(C27=0,0,E27/C27)</f>
        <v>2.684536816309795E-2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7777901</v>
      </c>
      <c r="D28" s="448">
        <v>7551820</v>
      </c>
      <c r="E28" s="448">
        <f t="shared" si="2"/>
        <v>-226081</v>
      </c>
      <c r="F28" s="449">
        <f t="shared" si="3"/>
        <v>-2.9067096636997566E-2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0.22270592865445452</v>
      </c>
      <c r="D29" s="453">
        <f>IF(LN_IA11=0,0,LN_IA12/LN_IA11)</f>
        <v>0.21057943153742514</v>
      </c>
      <c r="E29" s="454">
        <f t="shared" si="2"/>
        <v>-1.2126497117029372E-2</v>
      </c>
      <c r="F29" s="449">
        <f t="shared" si="3"/>
        <v>-5.4450715301093626E-2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0.51244545189472201</v>
      </c>
      <c r="D30" s="453">
        <f>IF(LN_IA1=0,0,LN_IA11/LN_IA1)</f>
        <v>0.51090465495252357</v>
      </c>
      <c r="E30" s="454">
        <f t="shared" si="2"/>
        <v>-1.5407969421984413E-3</v>
      </c>
      <c r="F30" s="449">
        <f t="shared" si="3"/>
        <v>-3.0067530826968607E-3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994.6566221276554</v>
      </c>
      <c r="D31" s="463">
        <f>LN_IA14*LN_IA4</f>
        <v>914.00842771006467</v>
      </c>
      <c r="E31" s="463">
        <f t="shared" si="2"/>
        <v>-80.64819441759073</v>
      </c>
      <c r="F31" s="449">
        <f t="shared" si="3"/>
        <v>-8.1081443207081216E-2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7819.6845292824837</v>
      </c>
      <c r="D32" s="465">
        <f>IF(LN_IA15=0,0,LN_IA12/LN_IA15)</f>
        <v>8262.3089361661059</v>
      </c>
      <c r="E32" s="465">
        <f t="shared" si="2"/>
        <v>442.62440688362221</v>
      </c>
      <c r="F32" s="449">
        <f t="shared" si="3"/>
        <v>5.660387004438866E-2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103077223</v>
      </c>
      <c r="D35" s="448">
        <f>LN_IA1+LN_IA11</f>
        <v>106055423</v>
      </c>
      <c r="E35" s="448">
        <f>D35-C35</f>
        <v>2978200</v>
      </c>
      <c r="F35" s="449">
        <f>IF(C35=0,0,E35/C35)</f>
        <v>2.8892901004909689E-2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26820528</v>
      </c>
      <c r="D36" s="448">
        <f>LN_IA2+LN_IA12</f>
        <v>27421063</v>
      </c>
      <c r="E36" s="448">
        <f>D36-C36</f>
        <v>600535</v>
      </c>
      <c r="F36" s="449">
        <f>IF(C36=0,0,E36/C36)</f>
        <v>2.2390871648760979E-2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76256695</v>
      </c>
      <c r="D37" s="448">
        <f>LN_IA17-LN_IA18</f>
        <v>78634360</v>
      </c>
      <c r="E37" s="448">
        <f>D37-C37</f>
        <v>2377665</v>
      </c>
      <c r="F37" s="449">
        <f>IF(C37=0,0,E37/C37)</f>
        <v>3.117975411863837E-2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29546764</v>
      </c>
      <c r="D42" s="448">
        <v>30427605</v>
      </c>
      <c r="E42" s="448">
        <f t="shared" ref="E42:E53" si="4">D42-C42</f>
        <v>880841</v>
      </c>
      <c r="F42" s="449">
        <f t="shared" ref="F42:F53" si="5">IF(C42=0,0,E42/C42)</f>
        <v>2.9811758742852516E-2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11546348</v>
      </c>
      <c r="D43" s="448">
        <v>11082924</v>
      </c>
      <c r="E43" s="448">
        <f t="shared" si="4"/>
        <v>-463424</v>
      </c>
      <c r="F43" s="449">
        <f t="shared" si="5"/>
        <v>-4.0135980658126708E-2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0.39078215130428495</v>
      </c>
      <c r="D44" s="453">
        <f>IF(LN_IB1=0,0,LN_IB2/LN_IB1)</f>
        <v>0.36423911773535905</v>
      </c>
      <c r="E44" s="454">
        <f t="shared" si="4"/>
        <v>-2.65430335689259E-2</v>
      </c>
      <c r="F44" s="449">
        <f t="shared" si="5"/>
        <v>-6.7922840079402705E-2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932</v>
      </c>
      <c r="D45" s="456">
        <v>828</v>
      </c>
      <c r="E45" s="456">
        <f t="shared" si="4"/>
        <v>-104</v>
      </c>
      <c r="F45" s="449">
        <f t="shared" si="5"/>
        <v>-0.11158798283261803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1.4137</v>
      </c>
      <c r="D46" s="459">
        <v>1.5694900000000001</v>
      </c>
      <c r="E46" s="460">
        <f t="shared" si="4"/>
        <v>0.1557900000000001</v>
      </c>
      <c r="F46" s="449">
        <f t="shared" si="5"/>
        <v>0.11020018391455054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1317.5683999999999</v>
      </c>
      <c r="D47" s="463">
        <f>LN_IB4*LN_IB5</f>
        <v>1299.53772</v>
      </c>
      <c r="E47" s="463">
        <f t="shared" si="4"/>
        <v>-18.030679999999847</v>
      </c>
      <c r="F47" s="449">
        <f t="shared" si="5"/>
        <v>-1.3684815148875647E-2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8763.3765351385173</v>
      </c>
      <c r="D48" s="465">
        <f>IF(LN_IB6=0,0,LN_IB2/LN_IB6)</f>
        <v>8528.3588382490343</v>
      </c>
      <c r="E48" s="465">
        <f t="shared" si="4"/>
        <v>-235.01769688948298</v>
      </c>
      <c r="F48" s="449">
        <f t="shared" si="5"/>
        <v>-2.6818167169598651E-2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-1880.1028130702625</v>
      </c>
      <c r="D49" s="465">
        <f>LN_IA7-LN_IB7</f>
        <v>-1142.3507158583279</v>
      </c>
      <c r="E49" s="465">
        <f t="shared" si="4"/>
        <v>737.7520972119346</v>
      </c>
      <c r="F49" s="449">
        <f t="shared" si="5"/>
        <v>-0.39239986881736749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-2477164.0552524845</v>
      </c>
      <c r="D50" s="479">
        <f>LN_IB8*LN_IB6</f>
        <v>-1484527.8447268994</v>
      </c>
      <c r="E50" s="479">
        <f t="shared" si="4"/>
        <v>992636.21052558511</v>
      </c>
      <c r="F50" s="449">
        <f t="shared" si="5"/>
        <v>-0.40071476429703434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2745</v>
      </c>
      <c r="D51" s="456">
        <v>2500</v>
      </c>
      <c r="E51" s="456">
        <f t="shared" si="4"/>
        <v>-245</v>
      </c>
      <c r="F51" s="449">
        <f t="shared" si="5"/>
        <v>-8.9253187613843349E-2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4206.3198542805103</v>
      </c>
      <c r="D52" s="465">
        <f>IF(LN_IB10=0,0,LN_IB2/LN_IB10)</f>
        <v>4433.1696000000002</v>
      </c>
      <c r="E52" s="465">
        <f t="shared" si="4"/>
        <v>226.84974571948987</v>
      </c>
      <c r="F52" s="449">
        <f t="shared" si="5"/>
        <v>5.3930693237376842E-2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2.9452789699570814</v>
      </c>
      <c r="D53" s="466">
        <f>IF(LN_IB4=0,0,LN_IB10/LN_IB4)</f>
        <v>3.0193236714975846</v>
      </c>
      <c r="E53" s="466">
        <f t="shared" si="4"/>
        <v>7.4044701540503244E-2</v>
      </c>
      <c r="F53" s="449">
        <f t="shared" si="5"/>
        <v>2.5140131816302015E-2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41667397</v>
      </c>
      <c r="D56" s="448">
        <v>44548966</v>
      </c>
      <c r="E56" s="448">
        <f t="shared" ref="E56:E63" si="6">D56-C56</f>
        <v>2881569</v>
      </c>
      <c r="F56" s="449">
        <f t="shared" ref="F56:F63" si="7">IF(C56=0,0,E56/C56)</f>
        <v>6.915644382585262E-2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17279715</v>
      </c>
      <c r="D57" s="448">
        <v>18474987</v>
      </c>
      <c r="E57" s="448">
        <f t="shared" si="6"/>
        <v>1195272</v>
      </c>
      <c r="F57" s="449">
        <f t="shared" si="7"/>
        <v>6.9171974190546548E-2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0.41470589103514194</v>
      </c>
      <c r="D58" s="453">
        <f>IF(LN_IB13=0,0,LN_IB14/LN_IB13)</f>
        <v>0.41471191497463711</v>
      </c>
      <c r="E58" s="454">
        <f t="shared" si="6"/>
        <v>6.0239394951699943E-6</v>
      </c>
      <c r="F58" s="449">
        <f t="shared" si="7"/>
        <v>1.4525811244527339E-5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1.4102186283411611</v>
      </c>
      <c r="D59" s="453">
        <f>IF(LN_IB1=0,0,LN_IB13/LN_IB1)</f>
        <v>1.4640970263679971</v>
      </c>
      <c r="E59" s="454">
        <f t="shared" si="6"/>
        <v>5.3878398026836027E-2</v>
      </c>
      <c r="F59" s="449">
        <f t="shared" si="7"/>
        <v>3.8205705799116509E-2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1314.3237616139622</v>
      </c>
      <c r="D60" s="463">
        <f>LN_IB16*LN_IB4</f>
        <v>1212.2723378327016</v>
      </c>
      <c r="E60" s="463">
        <f t="shared" si="6"/>
        <v>-102.05142378126061</v>
      </c>
      <c r="F60" s="449">
        <f t="shared" si="7"/>
        <v>-7.7645574676321438E-2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13147.228639297269</v>
      </c>
      <c r="D61" s="465">
        <f>IF(LN_IB17=0,0,LN_IB14/LN_IB17)</f>
        <v>15239.964175895946</v>
      </c>
      <c r="E61" s="465">
        <f t="shared" si="6"/>
        <v>2092.7355365986768</v>
      </c>
      <c r="F61" s="449">
        <f t="shared" si="7"/>
        <v>0.15917693333053157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-5327.5441100147855</v>
      </c>
      <c r="D62" s="465">
        <f>LN_IA16-LN_IB18</f>
        <v>-6977.6552397298401</v>
      </c>
      <c r="E62" s="465">
        <f t="shared" si="6"/>
        <v>-1650.1111297150546</v>
      </c>
      <c r="F62" s="449">
        <f t="shared" si="7"/>
        <v>0.30973204456686798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-7002117.8148389412</v>
      </c>
      <c r="D63" s="448">
        <f>LN_IB19*LN_IB17</f>
        <v>-8458818.4300578926</v>
      </c>
      <c r="E63" s="448">
        <f t="shared" si="6"/>
        <v>-1456700.6152189514</v>
      </c>
      <c r="F63" s="449">
        <f t="shared" si="7"/>
        <v>0.20803714729448003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71214161</v>
      </c>
      <c r="D66" s="448">
        <f>LN_IB1+LN_IB13</f>
        <v>74976571</v>
      </c>
      <c r="E66" s="448">
        <f>D66-C66</f>
        <v>3762410</v>
      </c>
      <c r="F66" s="449">
        <f>IF(C66=0,0,E66/C66)</f>
        <v>5.2832329232945681E-2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28826063</v>
      </c>
      <c r="D67" s="448">
        <f>LN_IB2+LN_IB14</f>
        <v>29557911</v>
      </c>
      <c r="E67" s="448">
        <f>D67-C67</f>
        <v>731848</v>
      </c>
      <c r="F67" s="449">
        <f>IF(C67=0,0,E67/C67)</f>
        <v>2.5388413256433942E-2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42388098</v>
      </c>
      <c r="D68" s="448">
        <f>LN_IB21-LN_IB22</f>
        <v>45418660</v>
      </c>
      <c r="E68" s="448">
        <f>D68-C68</f>
        <v>3030562</v>
      </c>
      <c r="F68" s="449">
        <f>IF(C68=0,0,E68/C68)</f>
        <v>7.1495588219126979E-2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-9479281.8700914253</v>
      </c>
      <c r="D70" s="441">
        <f>LN_IB9+LN_IB20</f>
        <v>-9943346.2747847922</v>
      </c>
      <c r="E70" s="448">
        <f>D70-C70</f>
        <v>-464064.40469336696</v>
      </c>
      <c r="F70" s="449">
        <f>IF(C70=0,0,E70/C70)</f>
        <v>4.8955649916641961E-2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64692160</v>
      </c>
      <c r="D73" s="488">
        <v>73019420</v>
      </c>
      <c r="E73" s="488">
        <f>D73-C73</f>
        <v>8327260</v>
      </c>
      <c r="F73" s="489">
        <f>IF(C73=0,0,E73/C73)</f>
        <v>0.12872131646245852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32162323</v>
      </c>
      <c r="D74" s="488">
        <v>33840979</v>
      </c>
      <c r="E74" s="488">
        <f>D74-C74</f>
        <v>1678656</v>
      </c>
      <c r="F74" s="489">
        <f>IF(C74=0,0,E74/C74)</f>
        <v>5.2193244872268708E-2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32529837</v>
      </c>
      <c r="D76" s="441">
        <f>LN_IB32-LN_IB33</f>
        <v>39178441</v>
      </c>
      <c r="E76" s="488">
        <f>D76-C76</f>
        <v>6648604</v>
      </c>
      <c r="F76" s="489">
        <f>IF(E76=0,0,E76/C76)</f>
        <v>0.20438479295177531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0.50284048329813069</v>
      </c>
      <c r="D77" s="453">
        <f>IF(LN_IB32=0,0,LN_IB34/LN_IB32)</f>
        <v>0.53654823607199287</v>
      </c>
      <c r="E77" s="493">
        <f>D77-C77</f>
        <v>3.3707752773862176E-2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758177</v>
      </c>
      <c r="D83" s="448">
        <v>605694</v>
      </c>
      <c r="E83" s="448">
        <f t="shared" ref="E83:E95" si="8">D83-C83</f>
        <v>-152483</v>
      </c>
      <c r="F83" s="449">
        <f t="shared" ref="F83:F95" si="9">IF(C83=0,0,E83/C83)</f>
        <v>-0.20111794475432518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75818</v>
      </c>
      <c r="D84" s="448">
        <v>55814</v>
      </c>
      <c r="E84" s="448">
        <f t="shared" si="8"/>
        <v>-20004</v>
      </c>
      <c r="F84" s="449">
        <f t="shared" si="9"/>
        <v>-0.26384235933419503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0.10000039568596779</v>
      </c>
      <c r="D85" s="453">
        <f>IF(LN_IC1=0,0,LN_IC2/LN_IC1)</f>
        <v>9.2148840833820383E-2</v>
      </c>
      <c r="E85" s="454">
        <f t="shared" si="8"/>
        <v>-7.8515548521474049E-3</v>
      </c>
      <c r="F85" s="449">
        <f t="shared" si="9"/>
        <v>-7.8515237847695304E-2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33</v>
      </c>
      <c r="D86" s="456">
        <v>24</v>
      </c>
      <c r="E86" s="456">
        <f t="shared" si="8"/>
        <v>-9</v>
      </c>
      <c r="F86" s="449">
        <f t="shared" si="9"/>
        <v>-0.27272727272727271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1.101</v>
      </c>
      <c r="D87" s="459">
        <v>1.018</v>
      </c>
      <c r="E87" s="460">
        <f t="shared" si="8"/>
        <v>-8.2999999999999963E-2</v>
      </c>
      <c r="F87" s="449">
        <f t="shared" si="9"/>
        <v>-7.5386012715712949E-2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36.332999999999998</v>
      </c>
      <c r="D88" s="463">
        <f>LN_IC4*LN_IC5</f>
        <v>24.432000000000002</v>
      </c>
      <c r="E88" s="463">
        <f t="shared" si="8"/>
        <v>-11.900999999999996</v>
      </c>
      <c r="F88" s="449">
        <f t="shared" si="9"/>
        <v>-0.32755346379324574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2086.7530894778852</v>
      </c>
      <c r="D89" s="465">
        <f>IF(LN_IC6=0,0,LN_IC2/LN_IC6)</f>
        <v>2284.4629993451208</v>
      </c>
      <c r="E89" s="465">
        <f t="shared" si="8"/>
        <v>197.70990986723564</v>
      </c>
      <c r="F89" s="449">
        <f t="shared" si="9"/>
        <v>9.474523405004448E-2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6676.6234456606326</v>
      </c>
      <c r="D90" s="465">
        <f>LN_IB7-LN_IC7</f>
        <v>6243.8958389039135</v>
      </c>
      <c r="E90" s="465">
        <f t="shared" si="8"/>
        <v>-432.72760675671907</v>
      </c>
      <c r="F90" s="449">
        <f t="shared" si="9"/>
        <v>-6.481234268767451E-2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4796.5206325903691</v>
      </c>
      <c r="D91" s="465">
        <f>LN_IA7-LN_IC7</f>
        <v>5101.5451230455856</v>
      </c>
      <c r="E91" s="465">
        <f t="shared" si="8"/>
        <v>305.02449045521644</v>
      </c>
      <c r="F91" s="449">
        <f t="shared" si="9"/>
        <v>6.3592865291290837E-2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174271.98414390587</v>
      </c>
      <c r="D92" s="441">
        <f>LN_IC9*LN_IC6</f>
        <v>124640.95044624976</v>
      </c>
      <c r="E92" s="441">
        <f t="shared" si="8"/>
        <v>-49631.033697656108</v>
      </c>
      <c r="F92" s="449">
        <f t="shared" si="9"/>
        <v>-0.28479066180065443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101</v>
      </c>
      <c r="D93" s="456">
        <v>79</v>
      </c>
      <c r="E93" s="456">
        <f t="shared" si="8"/>
        <v>-22</v>
      </c>
      <c r="F93" s="449">
        <f t="shared" si="9"/>
        <v>-0.21782178217821782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750.67326732673268</v>
      </c>
      <c r="D94" s="499">
        <f>IF(LN_IC11=0,0,LN_IC2/LN_IC11)</f>
        <v>706.50632911392404</v>
      </c>
      <c r="E94" s="499">
        <f t="shared" si="8"/>
        <v>-44.166938212808645</v>
      </c>
      <c r="F94" s="449">
        <f t="shared" si="9"/>
        <v>-5.88364340854899E-2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3.0606060606060606</v>
      </c>
      <c r="D95" s="466">
        <f>IF(LN_IC4=0,0,LN_IC11/LN_IC4)</f>
        <v>3.2916666666666665</v>
      </c>
      <c r="E95" s="466">
        <f t="shared" si="8"/>
        <v>0.23106060606060597</v>
      </c>
      <c r="F95" s="449">
        <f t="shared" si="9"/>
        <v>7.5495049504950465E-2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3899766</v>
      </c>
      <c r="D98" s="448">
        <v>4578715</v>
      </c>
      <c r="E98" s="448">
        <f t="shared" ref="E98:E106" si="10">D98-C98</f>
        <v>678949</v>
      </c>
      <c r="F98" s="449">
        <f t="shared" ref="F98:F106" si="11">IF(C98=0,0,E98/C98)</f>
        <v>0.1740999331754777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389977</v>
      </c>
      <c r="D99" s="448">
        <v>444186</v>
      </c>
      <c r="E99" s="448">
        <f t="shared" si="10"/>
        <v>54209</v>
      </c>
      <c r="F99" s="449">
        <f t="shared" si="11"/>
        <v>0.13900563366557514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0.10000010257025678</v>
      </c>
      <c r="D100" s="453">
        <f>IF(LN_IC14=0,0,LN_IC15/LN_IC14)</f>
        <v>9.7011060963610965E-2</v>
      </c>
      <c r="E100" s="454">
        <f t="shared" si="10"/>
        <v>-2.9890416066458148E-3</v>
      </c>
      <c r="F100" s="449">
        <f t="shared" si="11"/>
        <v>-2.9890385407813084E-2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5.1436089461959407</v>
      </c>
      <c r="D101" s="453">
        <f>IF(LN_IC1=0,0,LN_IC14/LN_IC1)</f>
        <v>7.5594524627947441</v>
      </c>
      <c r="E101" s="454">
        <f t="shared" si="10"/>
        <v>2.4158435165988035</v>
      </c>
      <c r="F101" s="449">
        <f t="shared" si="11"/>
        <v>0.46967869094820847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169.73909522446604</v>
      </c>
      <c r="D102" s="463">
        <f>LN_IC17*LN_IC4</f>
        <v>181.42685910707385</v>
      </c>
      <c r="E102" s="463">
        <f t="shared" si="10"/>
        <v>11.687763882607811</v>
      </c>
      <c r="F102" s="449">
        <f t="shared" si="11"/>
        <v>6.8857229780515214E-2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2297.5084171639269</v>
      </c>
      <c r="D103" s="465">
        <f>IF(LN_IC18=0,0,LN_IC15/LN_IC18)</f>
        <v>2448.2923983038913</v>
      </c>
      <c r="E103" s="465">
        <f t="shared" si="10"/>
        <v>150.78398113996445</v>
      </c>
      <c r="F103" s="449">
        <f t="shared" si="11"/>
        <v>6.5629348738619239E-2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10849.720222133343</v>
      </c>
      <c r="D104" s="465">
        <f>LN_IB18-LN_IC19</f>
        <v>12791.671777592055</v>
      </c>
      <c r="E104" s="465">
        <f t="shared" si="10"/>
        <v>1941.9515554587124</v>
      </c>
      <c r="F104" s="449">
        <f t="shared" si="11"/>
        <v>0.17898632551806698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5522.1761121185573</v>
      </c>
      <c r="D105" s="465">
        <f>LN_IA16-LN_IC19</f>
        <v>5814.016537862215</v>
      </c>
      <c r="E105" s="465">
        <f t="shared" si="10"/>
        <v>291.84042574365776</v>
      </c>
      <c r="F105" s="449">
        <f t="shared" si="11"/>
        <v>5.2848808118090701E-2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937329.17694116349</v>
      </c>
      <c r="D106" s="448">
        <f>LN_IC21*LN_IC18</f>
        <v>1054818.7592609255</v>
      </c>
      <c r="E106" s="448">
        <f t="shared" si="10"/>
        <v>117489.58231976198</v>
      </c>
      <c r="F106" s="449">
        <f t="shared" si="11"/>
        <v>0.12534506042281968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4657943</v>
      </c>
      <c r="D109" s="448">
        <f>LN_IC1+LN_IC14</f>
        <v>5184409</v>
      </c>
      <c r="E109" s="448">
        <f>D109-C109</f>
        <v>526466</v>
      </c>
      <c r="F109" s="449">
        <f>IF(C109=0,0,E109/C109)</f>
        <v>0.11302542774782774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465795</v>
      </c>
      <c r="D110" s="448">
        <f>LN_IC2+LN_IC15</f>
        <v>500000</v>
      </c>
      <c r="E110" s="448">
        <f>D110-C110</f>
        <v>34205</v>
      </c>
      <c r="F110" s="449">
        <f>IF(C110=0,0,E110/C110)</f>
        <v>7.3433592030829012E-2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4192148</v>
      </c>
      <c r="D111" s="448">
        <f>LN_IC23-LN_IC24</f>
        <v>4684409</v>
      </c>
      <c r="E111" s="448">
        <f>D111-C111</f>
        <v>492261</v>
      </c>
      <c r="F111" s="449">
        <f>IF(C111=0,0,E111/C111)</f>
        <v>0.11742452795082617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1111601.1610850694</v>
      </c>
      <c r="D113" s="448">
        <f>LN_IC10+LN_IC22</f>
        <v>1179459.7097071751</v>
      </c>
      <c r="E113" s="448">
        <f>D113-C113</f>
        <v>67858.548622105736</v>
      </c>
      <c r="F113" s="449">
        <f>IF(C113=0,0,E113/C113)</f>
        <v>6.1045769829771356E-2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7962245</v>
      </c>
      <c r="D118" s="448">
        <v>7791203</v>
      </c>
      <c r="E118" s="448">
        <f t="shared" ref="E118:E130" si="12">D118-C118</f>
        <v>-171042</v>
      </c>
      <c r="F118" s="449">
        <f t="shared" ref="F118:F130" si="13">IF(C118=0,0,E118/C118)</f>
        <v>-2.1481629866953351E-2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1391159</v>
      </c>
      <c r="D119" s="448">
        <v>1350019</v>
      </c>
      <c r="E119" s="448">
        <f t="shared" si="12"/>
        <v>-41140</v>
      </c>
      <c r="F119" s="449">
        <f t="shared" si="13"/>
        <v>-2.9572464398390119E-2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0.17471944156453362</v>
      </c>
      <c r="D120" s="453">
        <f>IF(LN_ID1=0,0,LN_1D2/LN_ID1)</f>
        <v>0.17327478182765871</v>
      </c>
      <c r="E120" s="454">
        <f t="shared" si="12"/>
        <v>-1.4446597368749092E-3</v>
      </c>
      <c r="F120" s="449">
        <f t="shared" si="13"/>
        <v>-8.268454408614373E-3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323</v>
      </c>
      <c r="D121" s="456">
        <v>255</v>
      </c>
      <c r="E121" s="456">
        <f t="shared" si="12"/>
        <v>-68</v>
      </c>
      <c r="F121" s="449">
        <f t="shared" si="13"/>
        <v>-0.21052631578947367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0.99048000000000003</v>
      </c>
      <c r="D122" s="459">
        <v>1.21733</v>
      </c>
      <c r="E122" s="460">
        <f t="shared" si="12"/>
        <v>0.22685</v>
      </c>
      <c r="F122" s="449">
        <f t="shared" si="13"/>
        <v>0.22903036911396493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319.92504000000002</v>
      </c>
      <c r="D123" s="463">
        <f>LN_ID4*LN_ID5</f>
        <v>310.41915</v>
      </c>
      <c r="E123" s="463">
        <f t="shared" si="12"/>
        <v>-9.5058900000000222</v>
      </c>
      <c r="F123" s="449">
        <f t="shared" si="13"/>
        <v>-2.9712866488975108E-2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4348.3904854712209</v>
      </c>
      <c r="D124" s="465">
        <f>IF(LN_ID6=0,0,LN_1D2/LN_ID6)</f>
        <v>4349.0197044866591</v>
      </c>
      <c r="E124" s="465">
        <f t="shared" si="12"/>
        <v>0.62921901543813874</v>
      </c>
      <c r="F124" s="449">
        <f t="shared" si="13"/>
        <v>1.4470158959745594E-4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4414.9860496672964</v>
      </c>
      <c r="D125" s="465">
        <f>LN_IB7-LN_ID7</f>
        <v>4179.3391337623752</v>
      </c>
      <c r="E125" s="465">
        <f t="shared" si="12"/>
        <v>-235.64691590492112</v>
      </c>
      <c r="F125" s="449">
        <f t="shared" si="13"/>
        <v>-5.3374328537839646E-2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2534.8832365970338</v>
      </c>
      <c r="D126" s="465">
        <f>LN_IA7-LN_ID7</f>
        <v>3036.9884179040473</v>
      </c>
      <c r="E126" s="465">
        <f t="shared" si="12"/>
        <v>502.10518130701348</v>
      </c>
      <c r="F126" s="449">
        <f t="shared" si="13"/>
        <v>0.1980782286370977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810972.62086363556</v>
      </c>
      <c r="D127" s="479">
        <f>LN_ID9*LN_ID6</f>
        <v>942739.36324561911</v>
      </c>
      <c r="E127" s="479">
        <f t="shared" si="12"/>
        <v>131766.74238198355</v>
      </c>
      <c r="F127" s="449">
        <f t="shared" si="13"/>
        <v>0.16247989018625578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1252</v>
      </c>
      <c r="D128" s="456">
        <v>979</v>
      </c>
      <c r="E128" s="456">
        <f t="shared" si="12"/>
        <v>-273</v>
      </c>
      <c r="F128" s="449">
        <f t="shared" si="13"/>
        <v>-0.21805111821086262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1111.1493610223642</v>
      </c>
      <c r="D129" s="465">
        <f>IF(LN_ID11=0,0,LN_1D2/LN_ID11)</f>
        <v>1378.9775280898875</v>
      </c>
      <c r="E129" s="465">
        <f t="shared" si="12"/>
        <v>267.82816706752328</v>
      </c>
      <c r="F129" s="449">
        <f t="shared" si="13"/>
        <v>0.24103705267948461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3.8761609907120742</v>
      </c>
      <c r="D130" s="466">
        <f>IF(LN_ID4=0,0,LN_ID11/LN_ID4)</f>
        <v>3.8392156862745099</v>
      </c>
      <c r="E130" s="466">
        <f t="shared" si="12"/>
        <v>-3.6945304437564275E-2</v>
      </c>
      <c r="F130" s="449">
        <f t="shared" si="13"/>
        <v>-9.5314164004259277E-3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18535877</v>
      </c>
      <c r="D133" s="448">
        <v>18369635</v>
      </c>
      <c r="E133" s="448">
        <f t="shared" ref="E133:E141" si="14">D133-C133</f>
        <v>-166242</v>
      </c>
      <c r="F133" s="449">
        <f t="shared" ref="F133:F141" si="15">IF(C133=0,0,E133/C133)</f>
        <v>-8.9686611537182735E-3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5019976</v>
      </c>
      <c r="D134" s="448">
        <v>4285321</v>
      </c>
      <c r="E134" s="448">
        <f t="shared" si="14"/>
        <v>-734655</v>
      </c>
      <c r="F134" s="449">
        <f t="shared" si="15"/>
        <v>-0.14634631719354835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0.2708248441657225</v>
      </c>
      <c r="D135" s="453">
        <f>IF(LN_ID14=0,0,LN_ID15/LN_ID14)</f>
        <v>0.23328286054676645</v>
      </c>
      <c r="E135" s="454">
        <f t="shared" si="14"/>
        <v>-3.7541983618956054E-2</v>
      </c>
      <c r="F135" s="449">
        <f t="shared" si="15"/>
        <v>-0.13862089992003634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2.3279711940539385</v>
      </c>
      <c r="D136" s="453">
        <f>IF(LN_ID1=0,0,LN_ID14/LN_ID1)</f>
        <v>2.3577405183769438</v>
      </c>
      <c r="E136" s="454">
        <f t="shared" si="14"/>
        <v>2.9769324323005275E-2</v>
      </c>
      <c r="F136" s="449">
        <f t="shared" si="15"/>
        <v>1.2787668678650981E-2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751.93469567942213</v>
      </c>
      <c r="D137" s="463">
        <f>LN_ID17*LN_ID4</f>
        <v>601.2238321861206</v>
      </c>
      <c r="E137" s="463">
        <f t="shared" si="14"/>
        <v>-150.71086349330153</v>
      </c>
      <c r="F137" s="449">
        <f t="shared" si="15"/>
        <v>-0.20043078788527563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6676.0797564529503</v>
      </c>
      <c r="D138" s="465">
        <f>IF(LN_ID18=0,0,LN_ID15/LN_ID18)</f>
        <v>7127.6632272178376</v>
      </c>
      <c r="E138" s="465">
        <f t="shared" si="14"/>
        <v>451.58347076488735</v>
      </c>
      <c r="F138" s="449">
        <f t="shared" si="15"/>
        <v>6.7642012564094495E-2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6471.1488828443189</v>
      </c>
      <c r="D139" s="465">
        <f>LN_IB18-LN_ID19</f>
        <v>8112.3009486781084</v>
      </c>
      <c r="E139" s="465">
        <f t="shared" si="14"/>
        <v>1641.1520658337895</v>
      </c>
      <c r="F139" s="449">
        <f t="shared" si="15"/>
        <v>0.25361061776598159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1143.6047728295334</v>
      </c>
      <c r="D140" s="465">
        <f>LN_IA16-LN_ID19</f>
        <v>1134.6457089482683</v>
      </c>
      <c r="E140" s="465">
        <f t="shared" si="14"/>
        <v>-8.9590638812651378</v>
      </c>
      <c r="F140" s="449">
        <f t="shared" si="15"/>
        <v>-7.8340560428918245E-3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859916.10683510988</v>
      </c>
      <c r="D141" s="441">
        <f>LN_ID21*LN_ID18</f>
        <v>682176.04130741546</v>
      </c>
      <c r="E141" s="441">
        <f t="shared" si="14"/>
        <v>-177740.06552769442</v>
      </c>
      <c r="F141" s="449">
        <f t="shared" si="15"/>
        <v>-0.20669465790315325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26498122</v>
      </c>
      <c r="D144" s="448">
        <f>LN_ID1+LN_ID14</f>
        <v>26160838</v>
      </c>
      <c r="E144" s="448">
        <f>D144-C144</f>
        <v>-337284</v>
      </c>
      <c r="F144" s="449">
        <f>IF(C144=0,0,E144/C144)</f>
        <v>-1.2728600162683228E-2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6411135</v>
      </c>
      <c r="D145" s="448">
        <f>LN_1D2+LN_ID15</f>
        <v>5635340</v>
      </c>
      <c r="E145" s="448">
        <f>D145-C145</f>
        <v>-775795</v>
      </c>
      <c r="F145" s="449">
        <f>IF(C145=0,0,E145/C145)</f>
        <v>-0.12100743472099713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20086987</v>
      </c>
      <c r="D146" s="448">
        <f>LN_ID23-LN_ID24</f>
        <v>20525498</v>
      </c>
      <c r="E146" s="448">
        <f>D146-C146</f>
        <v>438511</v>
      </c>
      <c r="F146" s="449">
        <f>IF(C146=0,0,E146/C146)</f>
        <v>2.1830601075213521E-2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1670888.7276987454</v>
      </c>
      <c r="D148" s="448">
        <f>LN_ID10+LN_ID22</f>
        <v>1624915.4045530346</v>
      </c>
      <c r="E148" s="448">
        <f>D148-C148</f>
        <v>-45973.323145710863</v>
      </c>
      <c r="F148" s="503">
        <f>IF(C148=0,0,E148/C148)</f>
        <v>-2.7514293671146047E-2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138845</v>
      </c>
      <c r="D153" s="448">
        <v>148311</v>
      </c>
      <c r="E153" s="448">
        <f t="shared" ref="E153:E165" si="16">D153-C153</f>
        <v>9466</v>
      </c>
      <c r="F153" s="449">
        <f t="shared" ref="F153:F165" si="17">IF(C153=0,0,E153/C153)</f>
        <v>6.8176743851056931E-2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36215</v>
      </c>
      <c r="D154" s="448">
        <v>71959</v>
      </c>
      <c r="E154" s="448">
        <f t="shared" si="16"/>
        <v>35744</v>
      </c>
      <c r="F154" s="449">
        <f t="shared" si="17"/>
        <v>0.98699433936214276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0.26083042241348264</v>
      </c>
      <c r="D155" s="453">
        <f>IF(LN_IE1=0,0,LN_IE2/LN_IE1)</f>
        <v>0.4851899049969321</v>
      </c>
      <c r="E155" s="454">
        <f t="shared" si="16"/>
        <v>0.22435948258344945</v>
      </c>
      <c r="F155" s="449">
        <f t="shared" si="17"/>
        <v>0.86017375008419283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5</v>
      </c>
      <c r="D156" s="506">
        <v>7</v>
      </c>
      <c r="E156" s="506">
        <f t="shared" si="16"/>
        <v>2</v>
      </c>
      <c r="F156" s="449">
        <f t="shared" si="17"/>
        <v>0.4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1.0623</v>
      </c>
      <c r="D157" s="459">
        <v>0.92652999999999996</v>
      </c>
      <c r="E157" s="460">
        <f t="shared" si="16"/>
        <v>-0.13577000000000006</v>
      </c>
      <c r="F157" s="449">
        <f t="shared" si="17"/>
        <v>-0.12780758731055264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5.3115000000000006</v>
      </c>
      <c r="D158" s="463">
        <f>LN_IE4*LN_IE5</f>
        <v>6.4857100000000001</v>
      </c>
      <c r="E158" s="463">
        <f t="shared" si="16"/>
        <v>1.1742099999999995</v>
      </c>
      <c r="F158" s="449">
        <f t="shared" si="17"/>
        <v>0.22106937776522628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6818.2246069848434</v>
      </c>
      <c r="D159" s="465">
        <f>IF(LN_IE6=0,0,LN_IE2/LN_IE6)</f>
        <v>11095.007331502642</v>
      </c>
      <c r="E159" s="465">
        <f t="shared" si="16"/>
        <v>4276.7827245177987</v>
      </c>
      <c r="F159" s="449">
        <f t="shared" si="17"/>
        <v>0.62725752978810689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1945.1519281536739</v>
      </c>
      <c r="D160" s="465">
        <f>LN_IB7-LN_IE7</f>
        <v>-2566.6484932536077</v>
      </c>
      <c r="E160" s="465">
        <f t="shared" si="16"/>
        <v>-4511.8004214072816</v>
      </c>
      <c r="F160" s="449">
        <f t="shared" si="17"/>
        <v>-2.319510551389091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65.04911508341138</v>
      </c>
      <c r="D161" s="465">
        <f>LN_IA7-LN_IE7</f>
        <v>-3708.9992091119357</v>
      </c>
      <c r="E161" s="465">
        <f t="shared" si="16"/>
        <v>-3774.048324195347</v>
      </c>
      <c r="F161" s="449">
        <f t="shared" si="17"/>
        <v>-58.018442208721034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345.5083747655396</v>
      </c>
      <c r="D162" s="479">
        <f>LN_IE9*LN_IE6</f>
        <v>-24055.493260529372</v>
      </c>
      <c r="E162" s="479">
        <f t="shared" si="16"/>
        <v>-24401.001635294913</v>
      </c>
      <c r="F162" s="449">
        <f t="shared" si="17"/>
        <v>-70.623473748945514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22</v>
      </c>
      <c r="D163" s="456">
        <v>22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1646.1363636363637</v>
      </c>
      <c r="D164" s="465">
        <f>IF(LN_IE11=0,0,LN_IE2/LN_IE11)</f>
        <v>3270.8636363636365</v>
      </c>
      <c r="E164" s="465">
        <f t="shared" si="16"/>
        <v>1624.7272727272727</v>
      </c>
      <c r="F164" s="449">
        <f t="shared" si="17"/>
        <v>0.98699433936214276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4.4000000000000004</v>
      </c>
      <c r="D165" s="466">
        <f>IF(LN_IE4=0,0,LN_IE11/LN_IE4)</f>
        <v>3.1428571428571428</v>
      </c>
      <c r="E165" s="466">
        <f t="shared" si="16"/>
        <v>-1.2571428571428576</v>
      </c>
      <c r="F165" s="449">
        <f t="shared" si="17"/>
        <v>-0.28571428571428581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177944</v>
      </c>
      <c r="D168" s="511">
        <v>228810</v>
      </c>
      <c r="E168" s="511">
        <f t="shared" ref="E168:E176" si="18">D168-C168</f>
        <v>50866</v>
      </c>
      <c r="F168" s="449">
        <f t="shared" ref="F168:F176" si="19">IF(C168=0,0,E168/C168)</f>
        <v>0.28585397653194261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36804</v>
      </c>
      <c r="D169" s="511">
        <v>97122</v>
      </c>
      <c r="E169" s="511">
        <f t="shared" si="18"/>
        <v>60318</v>
      </c>
      <c r="F169" s="449">
        <f t="shared" si="19"/>
        <v>1.6388979458754482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0.20682911477768287</v>
      </c>
      <c r="D170" s="453">
        <f>IF(LN_IE14=0,0,LN_IE15/LN_IE14)</f>
        <v>0.42446571391110527</v>
      </c>
      <c r="E170" s="454">
        <f t="shared" si="18"/>
        <v>0.2176365991334224</v>
      </c>
      <c r="F170" s="449">
        <f t="shared" si="19"/>
        <v>1.0522532060699303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1.281601786164428</v>
      </c>
      <c r="D171" s="453">
        <f>IF(LN_IE1=0,0,LN_IE14/LN_IE1)</f>
        <v>1.5427716083095657</v>
      </c>
      <c r="E171" s="454">
        <f t="shared" si="18"/>
        <v>0.26116982214513773</v>
      </c>
      <c r="F171" s="449">
        <f t="shared" si="19"/>
        <v>0.20378390929585513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6.40800893082214</v>
      </c>
      <c r="D172" s="463">
        <f>LN_IE17*LN_IE4</f>
        <v>10.799401258166959</v>
      </c>
      <c r="E172" s="463">
        <f t="shared" si="18"/>
        <v>4.3913923273448194</v>
      </c>
      <c r="F172" s="449">
        <f t="shared" si="19"/>
        <v>0.68529747301419708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5743.4376882614752</v>
      </c>
      <c r="D173" s="465">
        <f>IF(LN_IE18=0,0,LN_IE15/LN_IE18)</f>
        <v>8993.2763565528476</v>
      </c>
      <c r="E173" s="465">
        <f t="shared" si="18"/>
        <v>3249.8386682913724</v>
      </c>
      <c r="F173" s="449">
        <f t="shared" si="19"/>
        <v>0.56583510515547886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7403.790951035794</v>
      </c>
      <c r="D174" s="465">
        <f>LN_IB18-LN_IE19</f>
        <v>6246.6878193430985</v>
      </c>
      <c r="E174" s="465">
        <f t="shared" si="18"/>
        <v>-1157.1031316926956</v>
      </c>
      <c r="F174" s="449">
        <f t="shared" si="19"/>
        <v>-0.15628522460251479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2076.2468410210085</v>
      </c>
      <c r="D175" s="465">
        <f>LN_IA16-LN_IE19</f>
        <v>-730.96742038674165</v>
      </c>
      <c r="E175" s="465">
        <f t="shared" si="18"/>
        <v>-2807.2142614077502</v>
      </c>
      <c r="F175" s="449">
        <f t="shared" si="19"/>
        <v>-1.3520619061013397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13304.608299853879</v>
      </c>
      <c r="D176" s="441">
        <f>LN_IE21*LN_IE18</f>
        <v>-7894.0104794036342</v>
      </c>
      <c r="E176" s="441">
        <f t="shared" si="18"/>
        <v>-21198.618779257515</v>
      </c>
      <c r="F176" s="449">
        <f t="shared" si="19"/>
        <v>-1.5933290406971496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316789</v>
      </c>
      <c r="D179" s="448">
        <f>LN_IE1+LN_IE14</f>
        <v>377121</v>
      </c>
      <c r="E179" s="448">
        <f>D179-C179</f>
        <v>60332</v>
      </c>
      <c r="F179" s="449">
        <f>IF(C179=0,0,E179/C179)</f>
        <v>0.19044853198816877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73019</v>
      </c>
      <c r="D180" s="448">
        <f>LN_IE15+LN_IE2</f>
        <v>169081</v>
      </c>
      <c r="E180" s="448">
        <f>D180-C180</f>
        <v>96062</v>
      </c>
      <c r="F180" s="449">
        <f>IF(C180=0,0,E180/C180)</f>
        <v>1.3155753981840344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243770</v>
      </c>
      <c r="D181" s="448">
        <f>LN_IE23-LN_IE24</f>
        <v>208040</v>
      </c>
      <c r="E181" s="448">
        <f>D181-C181</f>
        <v>-35730</v>
      </c>
      <c r="F181" s="449">
        <f>IF(C181=0,0,E181/C181)</f>
        <v>-0.14657258891578126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13650.116674619418</v>
      </c>
      <c r="D183" s="448">
        <f>LN_IE10+LN_IE22</f>
        <v>-31949.503739933007</v>
      </c>
      <c r="E183" s="441">
        <f>D183-C183</f>
        <v>-45599.620414552424</v>
      </c>
      <c r="F183" s="449">
        <f>IF(C183=0,0,E183/C183)</f>
        <v>-3.3406029780931377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8101090</v>
      </c>
      <c r="D188" s="448">
        <f>LN_ID1+LN_IE1</f>
        <v>7939514</v>
      </c>
      <c r="E188" s="448">
        <f t="shared" ref="E188:E200" si="20">D188-C188</f>
        <v>-161576</v>
      </c>
      <c r="F188" s="449">
        <f t="shared" ref="F188:F200" si="21">IF(C188=0,0,E188/C188)</f>
        <v>-1.9944970368185024E-2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1427374</v>
      </c>
      <c r="D189" s="448">
        <f>LN_1D2+LN_IE2</f>
        <v>1421978</v>
      </c>
      <c r="E189" s="448">
        <f t="shared" si="20"/>
        <v>-5396</v>
      </c>
      <c r="F189" s="449">
        <f t="shared" si="21"/>
        <v>-3.7803687050485717E-3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0.17619530211366619</v>
      </c>
      <c r="D190" s="453">
        <f>IF(LN_IF1=0,0,LN_IF2/LN_IF1)</f>
        <v>0.17910139084079957</v>
      </c>
      <c r="E190" s="454">
        <f t="shared" si="20"/>
        <v>2.9060887271333824E-3</v>
      </c>
      <c r="F190" s="449">
        <f t="shared" si="21"/>
        <v>1.6493565335008887E-2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328</v>
      </c>
      <c r="D191" s="456">
        <f>LN_ID4+LN_IE4</f>
        <v>262</v>
      </c>
      <c r="E191" s="456">
        <f t="shared" si="20"/>
        <v>-66</v>
      </c>
      <c r="F191" s="449">
        <f t="shared" si="21"/>
        <v>-0.20121951219512196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0.99157481707317086</v>
      </c>
      <c r="D192" s="459">
        <f>IF((LN_ID4+LN_IE4)=0,0,(LN_ID6+LN_IE6)/(LN_ID4+LN_IE4))</f>
        <v>1.2095605343511451</v>
      </c>
      <c r="E192" s="460">
        <f t="shared" si="20"/>
        <v>0.21798571727797422</v>
      </c>
      <c r="F192" s="449">
        <f t="shared" si="21"/>
        <v>0.21983789173004833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325.23654000000005</v>
      </c>
      <c r="D193" s="463">
        <f>LN_IF4*LN_IF5</f>
        <v>316.90485999999999</v>
      </c>
      <c r="E193" s="463">
        <f t="shared" si="20"/>
        <v>-8.3316800000000626</v>
      </c>
      <c r="F193" s="449">
        <f t="shared" si="21"/>
        <v>-2.5617293800998073E-2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4388.725817830923</v>
      </c>
      <c r="D194" s="465">
        <f>IF(LN_IF6=0,0,LN_IF2/LN_IF6)</f>
        <v>4487.0817064780895</v>
      </c>
      <c r="E194" s="465">
        <f t="shared" si="20"/>
        <v>98.355888647166466</v>
      </c>
      <c r="F194" s="449">
        <f t="shared" si="21"/>
        <v>2.2411035168238815E-2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4374.6507173075943</v>
      </c>
      <c r="D195" s="465">
        <f>LN_IB7-LN_IF7</f>
        <v>4041.2771317709448</v>
      </c>
      <c r="E195" s="465">
        <f t="shared" si="20"/>
        <v>-333.37358553664944</v>
      </c>
      <c r="F195" s="449">
        <f t="shared" si="21"/>
        <v>-7.6205760660550806E-2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2494.5479042373317</v>
      </c>
      <c r="D196" s="465">
        <f>LN_IA7-LN_IF7</f>
        <v>2898.9264159126169</v>
      </c>
      <c r="E196" s="465">
        <f t="shared" si="20"/>
        <v>404.37851167528515</v>
      </c>
      <c r="F196" s="449">
        <f t="shared" si="21"/>
        <v>0.16210492930939222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811318.12923840107</v>
      </c>
      <c r="D197" s="479">
        <f>LN_IF9*LN_IF6</f>
        <v>918683.86998508964</v>
      </c>
      <c r="E197" s="479">
        <f t="shared" si="20"/>
        <v>107365.74074668856</v>
      </c>
      <c r="F197" s="449">
        <f t="shared" si="21"/>
        <v>0.13233494590768571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1274</v>
      </c>
      <c r="D198" s="456">
        <f>LN_ID11+LN_IE11</f>
        <v>1001</v>
      </c>
      <c r="E198" s="456">
        <f t="shared" si="20"/>
        <v>-273</v>
      </c>
      <c r="F198" s="449">
        <f t="shared" si="21"/>
        <v>-0.21428571428571427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1120.3877551020407</v>
      </c>
      <c r="D199" s="519">
        <f>IF(LN_IF11=0,0,LN_IF2/LN_IF11)</f>
        <v>1420.5574425574425</v>
      </c>
      <c r="E199" s="519">
        <f t="shared" si="20"/>
        <v>300.1696874554018</v>
      </c>
      <c r="F199" s="449">
        <f t="shared" si="21"/>
        <v>0.26791589437539282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3.8841463414634148</v>
      </c>
      <c r="D200" s="466">
        <f>IF(LN_IF4=0,0,LN_IF11/LN_IF4)</f>
        <v>3.8206106870229006</v>
      </c>
      <c r="E200" s="466">
        <f t="shared" si="20"/>
        <v>-6.3535654440514122E-2</v>
      </c>
      <c r="F200" s="449">
        <f t="shared" si="21"/>
        <v>-1.6357688113413368E-2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18713821</v>
      </c>
      <c r="D203" s="448">
        <f>LN_ID14+LN_IE14</f>
        <v>18598445</v>
      </c>
      <c r="E203" s="448">
        <f t="shared" ref="E203:E211" si="22">D203-C203</f>
        <v>-115376</v>
      </c>
      <c r="F203" s="449">
        <f t="shared" ref="F203:F211" si="23">IF(C203=0,0,E203/C203)</f>
        <v>-6.1652828676730421E-3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5056780</v>
      </c>
      <c r="D204" s="448">
        <f>LN_ID15+LN_IE15</f>
        <v>4382443</v>
      </c>
      <c r="E204" s="448">
        <f t="shared" si="22"/>
        <v>-674337</v>
      </c>
      <c r="F204" s="449">
        <f t="shared" si="23"/>
        <v>-0.13335304284544711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0.27021632834897802</v>
      </c>
      <c r="D205" s="453">
        <f>IF(LN_IF14=0,0,LN_IF15/LN_IF14)</f>
        <v>0.23563491463936903</v>
      </c>
      <c r="E205" s="454">
        <f t="shared" si="22"/>
        <v>-3.4581413709608988E-2</v>
      </c>
      <c r="F205" s="449">
        <f t="shared" si="23"/>
        <v>-0.12797677298371068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2.3100374147182663</v>
      </c>
      <c r="D206" s="453">
        <f>IF(LN_IF1=0,0,LN_IF14/LN_IF1)</f>
        <v>2.3425168089633699</v>
      </c>
      <c r="E206" s="454">
        <f t="shared" si="22"/>
        <v>3.2479394245103599E-2</v>
      </c>
      <c r="F206" s="449">
        <f t="shared" si="23"/>
        <v>1.4060116099489586E-2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758.34270461024425</v>
      </c>
      <c r="D207" s="463">
        <f>LN_ID18+LN_IE18</f>
        <v>612.0232334442876</v>
      </c>
      <c r="E207" s="463">
        <f t="shared" si="22"/>
        <v>-146.31947116595666</v>
      </c>
      <c r="F207" s="449">
        <f t="shared" si="23"/>
        <v>-0.19294636880717222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6668.1989148942484</v>
      </c>
      <c r="D208" s="465">
        <f>IF(LN_IF18=0,0,LN_IF15/LN_IF18)</f>
        <v>7160.582736927965</v>
      </c>
      <c r="E208" s="465">
        <f t="shared" si="22"/>
        <v>492.38382203371657</v>
      </c>
      <c r="F208" s="449">
        <f t="shared" si="23"/>
        <v>7.3840601985330143E-2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6479.0297244030207</v>
      </c>
      <c r="D209" s="465">
        <f>LN_IB18-LN_IF19</f>
        <v>8079.381438967981</v>
      </c>
      <c r="E209" s="465">
        <f t="shared" si="22"/>
        <v>1600.3517145649603</v>
      </c>
      <c r="F209" s="449">
        <f t="shared" si="23"/>
        <v>0.24700484218142973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1151.4856143882353</v>
      </c>
      <c r="D210" s="465">
        <f>LN_IA16-LN_IF19</f>
        <v>1101.7261992381409</v>
      </c>
      <c r="E210" s="465">
        <f t="shared" si="22"/>
        <v>-49.759415150094355</v>
      </c>
      <c r="F210" s="449">
        <f t="shared" si="23"/>
        <v>-4.3213232131024654E-2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873220.71513496374</v>
      </c>
      <c r="D211" s="441">
        <f>LN_IF21*LN_IF18</f>
        <v>674282.03082801239</v>
      </c>
      <c r="E211" s="441">
        <f t="shared" si="22"/>
        <v>-198938.68430695136</v>
      </c>
      <c r="F211" s="449">
        <f t="shared" si="23"/>
        <v>-0.22782176471409485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26814911</v>
      </c>
      <c r="D214" s="448">
        <f>LN_IF1+LN_IF14</f>
        <v>26537959</v>
      </c>
      <c r="E214" s="448">
        <f>D214-C214</f>
        <v>-276952</v>
      </c>
      <c r="F214" s="449">
        <f>IF(C214=0,0,E214/C214)</f>
        <v>-1.0328283394265229E-2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6484154</v>
      </c>
      <c r="D215" s="448">
        <f>LN_IF2+LN_IF15</f>
        <v>5804421</v>
      </c>
      <c r="E215" s="448">
        <f>D215-C215</f>
        <v>-679733</v>
      </c>
      <c r="F215" s="449">
        <f>IF(C215=0,0,E215/C215)</f>
        <v>-0.10482986677984514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20330757</v>
      </c>
      <c r="D216" s="448">
        <f>LN_IF23-LN_IF24</f>
        <v>20733538</v>
      </c>
      <c r="E216" s="448">
        <f>D216-C216</f>
        <v>402781</v>
      </c>
      <c r="F216" s="449">
        <f>IF(C216=0,0,E216/C216)</f>
        <v>1.9811411842657899E-2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0</v>
      </c>
      <c r="D221" s="448">
        <v>19106</v>
      </c>
      <c r="E221" s="448">
        <f t="shared" ref="E221:E230" si="24">D221-C221</f>
        <v>19106</v>
      </c>
      <c r="F221" s="449">
        <f t="shared" ref="F221:F230" si="25">IF(C221=0,0,E221/C221)</f>
        <v>0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0</v>
      </c>
      <c r="D222" s="448">
        <v>12304</v>
      </c>
      <c r="E222" s="448">
        <f t="shared" si="24"/>
        <v>12304</v>
      </c>
      <c r="F222" s="449">
        <f t="shared" si="25"/>
        <v>0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</v>
      </c>
      <c r="D223" s="453">
        <f>IF(LN_IG1=0,0,LN_IG2/LN_IG1)</f>
        <v>0.64398618235109395</v>
      </c>
      <c r="E223" s="454">
        <f t="shared" si="24"/>
        <v>0.64398618235109395</v>
      </c>
      <c r="F223" s="449">
        <f t="shared" si="25"/>
        <v>0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0</v>
      </c>
      <c r="D224" s="456">
        <v>1</v>
      </c>
      <c r="E224" s="456">
        <f t="shared" si="24"/>
        <v>1</v>
      </c>
      <c r="F224" s="449">
        <f t="shared" si="25"/>
        <v>0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0</v>
      </c>
      <c r="D225" s="459">
        <v>1.6584000000000001</v>
      </c>
      <c r="E225" s="460">
        <f t="shared" si="24"/>
        <v>1.6584000000000001</v>
      </c>
      <c r="F225" s="449">
        <f t="shared" si="25"/>
        <v>0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0</v>
      </c>
      <c r="D226" s="463">
        <f>LN_IG3*LN_IG4</f>
        <v>1.6584000000000001</v>
      </c>
      <c r="E226" s="463">
        <f t="shared" si="24"/>
        <v>1.6584000000000001</v>
      </c>
      <c r="F226" s="449">
        <f t="shared" si="25"/>
        <v>0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0</v>
      </c>
      <c r="D227" s="465">
        <f>IF(LN_IG5=0,0,LN_IG2/LN_IG5)</f>
        <v>7419.1992281717312</v>
      </c>
      <c r="E227" s="465">
        <f t="shared" si="24"/>
        <v>7419.1992281717312</v>
      </c>
      <c r="F227" s="449">
        <f t="shared" si="25"/>
        <v>0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0</v>
      </c>
      <c r="D228" s="456">
        <v>2</v>
      </c>
      <c r="E228" s="456">
        <f t="shared" si="24"/>
        <v>2</v>
      </c>
      <c r="F228" s="449">
        <f t="shared" si="25"/>
        <v>0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0</v>
      </c>
      <c r="D229" s="465">
        <f>IF(LN_IG6=0,0,LN_IG2/LN_IG6)</f>
        <v>6152</v>
      </c>
      <c r="E229" s="465">
        <f t="shared" si="24"/>
        <v>6152</v>
      </c>
      <c r="F229" s="449">
        <f t="shared" si="25"/>
        <v>0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0</v>
      </c>
      <c r="D230" s="466">
        <f>IF(LN_IG3=0,0,LN_IG6/LN_IG3)</f>
        <v>2</v>
      </c>
      <c r="E230" s="466">
        <f t="shared" si="24"/>
        <v>2</v>
      </c>
      <c r="F230" s="449">
        <f t="shared" si="25"/>
        <v>0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139543</v>
      </c>
      <c r="D233" s="448">
        <v>184061</v>
      </c>
      <c r="E233" s="448">
        <f>D233-C233</f>
        <v>44518</v>
      </c>
      <c r="F233" s="449">
        <f>IF(C233=0,0,E233/C233)</f>
        <v>0.31902710992310612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38199</v>
      </c>
      <c r="D234" s="448">
        <v>57243</v>
      </c>
      <c r="E234" s="448">
        <f>D234-C234</f>
        <v>19044</v>
      </c>
      <c r="F234" s="449">
        <f>IF(C234=0,0,E234/C234)</f>
        <v>0.49854708238435563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139543</v>
      </c>
      <c r="D237" s="448">
        <f>LN_IG1+LN_IG9</f>
        <v>203167</v>
      </c>
      <c r="E237" s="448">
        <f>D237-C237</f>
        <v>63624</v>
      </c>
      <c r="F237" s="449">
        <f>IF(C237=0,0,E237/C237)</f>
        <v>0.45594547917129485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38199</v>
      </c>
      <c r="D238" s="448">
        <f>LN_IG2+LN_IG10</f>
        <v>69547</v>
      </c>
      <c r="E238" s="448">
        <f>D238-C238</f>
        <v>31348</v>
      </c>
      <c r="F238" s="449">
        <f>IF(C238=0,0,E238/C238)</f>
        <v>0.82064975522919448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101344</v>
      </c>
      <c r="D239" s="448">
        <f>LN_IG13-LN_IG14</f>
        <v>133620</v>
      </c>
      <c r="E239" s="448">
        <f>D239-C239</f>
        <v>32276</v>
      </c>
      <c r="F239" s="449">
        <f>IF(C239=0,0,E239/C239)</f>
        <v>0.318479633722766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669361</v>
      </c>
      <c r="D243" s="448">
        <v>5924574</v>
      </c>
      <c r="E243" s="441">
        <f>D243-C243</f>
        <v>5255213</v>
      </c>
      <c r="F243" s="503">
        <f>IF(C243=0,0,E243/C243)</f>
        <v>7.8510893225031033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68666088</v>
      </c>
      <c r="D244" s="448">
        <v>67298998</v>
      </c>
      <c r="E244" s="441">
        <f>D244-C244</f>
        <v>-1367090</v>
      </c>
      <c r="F244" s="503">
        <f>IF(C244=0,0,E244/C244)</f>
        <v>-1.9909245448786889E-2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245354</v>
      </c>
      <c r="D248" s="441">
        <v>300473</v>
      </c>
      <c r="E248" s="441">
        <f>D248-C248</f>
        <v>55119</v>
      </c>
      <c r="F248" s="449">
        <f>IF(C248=0,0,E248/C248)</f>
        <v>0.22465091255899639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3556700</v>
      </c>
      <c r="D249" s="441">
        <v>3982595</v>
      </c>
      <c r="E249" s="441">
        <f>D249-C249</f>
        <v>425895</v>
      </c>
      <c r="F249" s="449">
        <f>IF(C249=0,0,E249/C249)</f>
        <v>0.1197444260128771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3802054</v>
      </c>
      <c r="D250" s="441">
        <f>LN_IH4+LN_IH5</f>
        <v>4283068</v>
      </c>
      <c r="E250" s="441">
        <f>D250-C250</f>
        <v>481014</v>
      </c>
      <c r="F250" s="449">
        <f>IF(C250=0,0,E250/C250)</f>
        <v>0.12651424729895999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1253732.5571176384</v>
      </c>
      <c r="D251" s="441">
        <f>LN_IH6*LN_III10</f>
        <v>1295660.5001939423</v>
      </c>
      <c r="E251" s="441">
        <f>D251-C251</f>
        <v>41927.943076303927</v>
      </c>
      <c r="F251" s="449">
        <f>IF(C251=0,0,E251/C251)</f>
        <v>3.3442493646888526E-2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26814911</v>
      </c>
      <c r="D254" s="441">
        <f>LN_IF23</f>
        <v>26537959</v>
      </c>
      <c r="E254" s="441">
        <f>D254-C254</f>
        <v>-276952</v>
      </c>
      <c r="F254" s="449">
        <f>IF(C254=0,0,E254/C254)</f>
        <v>-1.0328283394265229E-2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6484154</v>
      </c>
      <c r="D255" s="441">
        <f>LN_IF24</f>
        <v>5804421</v>
      </c>
      <c r="E255" s="441">
        <f>D255-C255</f>
        <v>-679733</v>
      </c>
      <c r="F255" s="449">
        <f>IF(C255=0,0,E255/C255)</f>
        <v>-0.10482986677984514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8842253.9335085433</v>
      </c>
      <c r="D256" s="441">
        <f>LN_IH8*LN_III10</f>
        <v>8027933.5355092045</v>
      </c>
      <c r="E256" s="441">
        <f>D256-C256</f>
        <v>-814320.39799933881</v>
      </c>
      <c r="F256" s="449">
        <f>IF(C256=0,0,E256/C256)</f>
        <v>-9.2094210833891119E-2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2358099.9335085433</v>
      </c>
      <c r="D257" s="441">
        <f>LN_IH10-LN_IH9</f>
        <v>2223512.5355092045</v>
      </c>
      <c r="E257" s="441">
        <f>D257-C257</f>
        <v>-134587.39799933881</v>
      </c>
      <c r="F257" s="449">
        <f>IF(C257=0,0,E257/C257)</f>
        <v>-5.7074509899625168E-2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105800542</v>
      </c>
      <c r="D261" s="448">
        <f>LN_IA1+LN_IB1+LN_IF1+LN_IG1</f>
        <v>108579551</v>
      </c>
      <c r="E261" s="448">
        <f t="shared" ref="E261:E274" si="26">D261-C261</f>
        <v>2779009</v>
      </c>
      <c r="F261" s="503">
        <f t="shared" ref="F261:F274" si="27">IF(C261=0,0,E261/C261)</f>
        <v>2.6266491148977288E-2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32016349</v>
      </c>
      <c r="D262" s="448">
        <f>+LN_IA2+LN_IB2+LN_IF2+LN_IG2</f>
        <v>32386449</v>
      </c>
      <c r="E262" s="448">
        <f t="shared" si="26"/>
        <v>370100</v>
      </c>
      <c r="F262" s="503">
        <f t="shared" si="27"/>
        <v>1.1559719067280282E-2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0.30261044409394422</v>
      </c>
      <c r="D263" s="453">
        <f>IF(LN_IIA1=0,0,LN_IIA2/LN_IIA1)</f>
        <v>0.29827392636759015</v>
      </c>
      <c r="E263" s="454">
        <f t="shared" si="26"/>
        <v>-4.3365177263540722E-3</v>
      </c>
      <c r="F263" s="458">
        <f t="shared" si="27"/>
        <v>-1.4330363710142856E-2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3201</v>
      </c>
      <c r="D264" s="456">
        <f>LN_IA4+LN_IB4+LN_IF4+LN_IG3</f>
        <v>2880</v>
      </c>
      <c r="E264" s="456">
        <f t="shared" si="26"/>
        <v>-321</v>
      </c>
      <c r="F264" s="503">
        <f t="shared" si="27"/>
        <v>-0.10028116213683223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1.377479612621056</v>
      </c>
      <c r="D265" s="525">
        <f>IF(LN_IIA4=0,0,LN_IIA6/LN_IIA4)</f>
        <v>1.4959098194444442</v>
      </c>
      <c r="E265" s="525">
        <f t="shared" si="26"/>
        <v>0.11843020682338823</v>
      </c>
      <c r="F265" s="503">
        <f t="shared" si="27"/>
        <v>8.5976014264225867E-2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4409.3122400000002</v>
      </c>
      <c r="D266" s="463">
        <f>LN_IA6+LN_IB6+LN_IF6+LN_IG5</f>
        <v>4308.2202799999995</v>
      </c>
      <c r="E266" s="463">
        <f t="shared" si="26"/>
        <v>-101.09196000000065</v>
      </c>
      <c r="F266" s="503">
        <f t="shared" si="27"/>
        <v>-2.2926922498915762E-2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95445296</v>
      </c>
      <c r="D267" s="448">
        <f>LN_IA11+LN_IB13+LN_IF14+LN_IG9</f>
        <v>99193569</v>
      </c>
      <c r="E267" s="448">
        <f t="shared" si="26"/>
        <v>3748273</v>
      </c>
      <c r="F267" s="503">
        <f t="shared" si="27"/>
        <v>3.9271427268662881E-2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0.90212483032459323</v>
      </c>
      <c r="D268" s="453">
        <f>IF(LN_IIA1=0,0,LN_IIA7/LN_IIA1)</f>
        <v>0.91355663277701338</v>
      </c>
      <c r="E268" s="454">
        <f t="shared" si="26"/>
        <v>1.1431802452420148E-2</v>
      </c>
      <c r="F268" s="458">
        <f t="shared" si="27"/>
        <v>1.267208491346688E-2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30152595</v>
      </c>
      <c r="D269" s="448">
        <f>LN_IA12+LN_IB14+LN_IF15+LN_IG10</f>
        <v>30466493</v>
      </c>
      <c r="E269" s="448">
        <f t="shared" si="26"/>
        <v>313898</v>
      </c>
      <c r="F269" s="503">
        <f t="shared" si="27"/>
        <v>1.0410314601446409E-2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0.31591494042828472</v>
      </c>
      <c r="D270" s="453">
        <f>IF(LN_IIA7=0,0,LN_IIA9/LN_IIA7)</f>
        <v>0.30714181682483871</v>
      </c>
      <c r="E270" s="454">
        <f t="shared" si="26"/>
        <v>-8.7731236034460092E-3</v>
      </c>
      <c r="F270" s="458">
        <f t="shared" si="27"/>
        <v>-2.7770524532813541E-2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201245838</v>
      </c>
      <c r="D271" s="441">
        <f>LN_IIA1+LN_IIA7</f>
        <v>207773120</v>
      </c>
      <c r="E271" s="441">
        <f t="shared" si="26"/>
        <v>6527282</v>
      </c>
      <c r="F271" s="503">
        <f t="shared" si="27"/>
        <v>3.2434370145831289E-2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62168944</v>
      </c>
      <c r="D272" s="441">
        <f>LN_IIA2+LN_IIA9</f>
        <v>62852942</v>
      </c>
      <c r="E272" s="441">
        <f t="shared" si="26"/>
        <v>683998</v>
      </c>
      <c r="F272" s="503">
        <f t="shared" si="27"/>
        <v>1.1002245751512202E-2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0.30892039615745992</v>
      </c>
      <c r="D273" s="453">
        <f>IF(LN_IIA11=0,0,LN_IIA12/LN_IIA11)</f>
        <v>0.30250757172053827</v>
      </c>
      <c r="E273" s="454">
        <f t="shared" si="26"/>
        <v>-6.4128244369216492E-3</v>
      </c>
      <c r="F273" s="458">
        <f t="shared" si="27"/>
        <v>-2.075882498108984E-2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12110</v>
      </c>
      <c r="D274" s="508">
        <f>LN_IA8+LN_IB10+LN_IF11+LN_IG6</f>
        <v>11071</v>
      </c>
      <c r="E274" s="528">
        <f t="shared" si="26"/>
        <v>-1039</v>
      </c>
      <c r="F274" s="458">
        <f t="shared" si="27"/>
        <v>-8.5796862097440127E-2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76253778</v>
      </c>
      <c r="D277" s="448">
        <f>LN_IA1+LN_IF1+LN_IG1</f>
        <v>78151946</v>
      </c>
      <c r="E277" s="448">
        <f t="shared" ref="E277:E291" si="28">D277-C277</f>
        <v>1898168</v>
      </c>
      <c r="F277" s="503">
        <f t="shared" ref="F277:F291" si="29">IF(C277=0,0,E277/C277)</f>
        <v>2.4892773181677635E-2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20470001</v>
      </c>
      <c r="D278" s="448">
        <f>LN_IA2+LN_IF2+LN_IG2</f>
        <v>21303525</v>
      </c>
      <c r="E278" s="448">
        <f t="shared" si="28"/>
        <v>833524</v>
      </c>
      <c r="F278" s="503">
        <f t="shared" si="29"/>
        <v>4.0719294542291423E-2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0.26844572868245298</v>
      </c>
      <c r="D279" s="453">
        <f>IF(D277=0,0,LN_IIB2/D277)</f>
        <v>0.27259110093048738</v>
      </c>
      <c r="E279" s="454">
        <f t="shared" si="28"/>
        <v>4.1453722480344068E-3</v>
      </c>
      <c r="F279" s="458">
        <f t="shared" si="29"/>
        <v>1.5442124068727529E-2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2269</v>
      </c>
      <c r="D280" s="456">
        <f>LN_IA4+LN_IF4+LN_IG3</f>
        <v>2052</v>
      </c>
      <c r="E280" s="456">
        <f t="shared" si="28"/>
        <v>-217</v>
      </c>
      <c r="F280" s="503">
        <f t="shared" si="29"/>
        <v>-9.563684442485676E-2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1.3626019568091672</v>
      </c>
      <c r="D281" s="525">
        <f>IF(LN_IIB4=0,0,LN_IIB6/LN_IIB4)</f>
        <v>1.4662195711500974</v>
      </c>
      <c r="E281" s="525">
        <f t="shared" si="28"/>
        <v>0.1036176143409302</v>
      </c>
      <c r="F281" s="503">
        <f t="shared" si="29"/>
        <v>7.6043934784574718E-2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3091.7438400000001</v>
      </c>
      <c r="D282" s="463">
        <f>LN_IA6+LN_IF6+LN_IG5</f>
        <v>3008.6825599999997</v>
      </c>
      <c r="E282" s="463">
        <f t="shared" si="28"/>
        <v>-83.061280000000352</v>
      </c>
      <c r="F282" s="503">
        <f t="shared" si="29"/>
        <v>-2.686551160072833E-2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53777899</v>
      </c>
      <c r="D283" s="448">
        <f>LN_IA11+LN_IF14+LN_IG9</f>
        <v>54644603</v>
      </c>
      <c r="E283" s="448">
        <f t="shared" si="28"/>
        <v>866704</v>
      </c>
      <c r="F283" s="503">
        <f t="shared" si="29"/>
        <v>1.6116360365807523E-2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0.70524897795883634</v>
      </c>
      <c r="D284" s="453">
        <f>IF(D277=0,0,LN_IIB7/D277)</f>
        <v>0.69920975480252279</v>
      </c>
      <c r="E284" s="454">
        <f t="shared" si="28"/>
        <v>-6.0392231563135557E-3</v>
      </c>
      <c r="F284" s="458">
        <f t="shared" si="29"/>
        <v>-8.5632497813645184E-3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12872880</v>
      </c>
      <c r="D285" s="448">
        <f>LN_IA12+LN_IF15+LN_IG10</f>
        <v>11991506</v>
      </c>
      <c r="E285" s="448">
        <f t="shared" si="28"/>
        <v>-881374</v>
      </c>
      <c r="F285" s="503">
        <f t="shared" si="29"/>
        <v>-6.8467506882686699E-2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0.23937119596286199</v>
      </c>
      <c r="D286" s="453">
        <f>IF(LN_IIB7=0,0,LN_IIB9/LN_IIB7)</f>
        <v>0.21944538603382296</v>
      </c>
      <c r="E286" s="454">
        <f t="shared" si="28"/>
        <v>-1.9925809929039029E-2</v>
      </c>
      <c r="F286" s="458">
        <f t="shared" si="29"/>
        <v>-8.3242304275116225E-2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130031677</v>
      </c>
      <c r="D287" s="441">
        <f>D277+LN_IIB7</f>
        <v>132796549</v>
      </c>
      <c r="E287" s="441">
        <f t="shared" si="28"/>
        <v>2764872</v>
      </c>
      <c r="F287" s="503">
        <f t="shared" si="29"/>
        <v>2.1263064999154015E-2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33342881</v>
      </c>
      <c r="D288" s="441">
        <f>LN_IIB2+LN_IIB9</f>
        <v>33295031</v>
      </c>
      <c r="E288" s="441">
        <f t="shared" si="28"/>
        <v>-47850</v>
      </c>
      <c r="F288" s="503">
        <f t="shared" si="29"/>
        <v>-1.4350889474727753E-3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0.25642121803904749</v>
      </c>
      <c r="D289" s="453">
        <f>IF(LN_IIB11=0,0,LN_IIB12/LN_IIB11)</f>
        <v>0.25072211025604285</v>
      </c>
      <c r="E289" s="454">
        <f t="shared" si="28"/>
        <v>-5.6991077830046422E-3</v>
      </c>
      <c r="F289" s="458">
        <f t="shared" si="29"/>
        <v>-2.2225570202762196E-2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9365</v>
      </c>
      <c r="D290" s="508">
        <f>LN_IA8+LN_IF11+LN_IG6</f>
        <v>8571</v>
      </c>
      <c r="E290" s="528">
        <f t="shared" si="28"/>
        <v>-794</v>
      </c>
      <c r="F290" s="458">
        <f t="shared" si="29"/>
        <v>-8.4783769353977578E-2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96688796</v>
      </c>
      <c r="D291" s="516">
        <f>LN_IIB11-LN_IIB12</f>
        <v>99501518</v>
      </c>
      <c r="E291" s="441">
        <f t="shared" si="28"/>
        <v>2812722</v>
      </c>
      <c r="F291" s="503">
        <f t="shared" si="29"/>
        <v>2.9090464628393965E-2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4.1684698608964448</v>
      </c>
      <c r="D294" s="466">
        <f>IF(LN_IA4=0,0,LN_IA8/LN_IA4)</f>
        <v>4.2302962548910008</v>
      </c>
      <c r="E294" s="466">
        <f t="shared" ref="E294:E300" si="30">D294-C294</f>
        <v>6.1826393994556028E-2</v>
      </c>
      <c r="F294" s="503">
        <f t="shared" ref="F294:F300" si="31">IF(C294=0,0,E294/C294)</f>
        <v>1.4831915800696238E-2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2.9452789699570814</v>
      </c>
      <c r="D295" s="466">
        <f>IF(LN_IB4=0,0,(LN_IB10)/(LN_IB4))</f>
        <v>3.0193236714975846</v>
      </c>
      <c r="E295" s="466">
        <f t="shared" si="30"/>
        <v>7.4044701540503244E-2</v>
      </c>
      <c r="F295" s="503">
        <f t="shared" si="31"/>
        <v>2.5140131816302015E-2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3.0606060606060606</v>
      </c>
      <c r="D296" s="466">
        <f>IF(LN_IC4=0,0,LN_IC11/LN_IC4)</f>
        <v>3.2916666666666665</v>
      </c>
      <c r="E296" s="466">
        <f t="shared" si="30"/>
        <v>0.23106060606060597</v>
      </c>
      <c r="F296" s="503">
        <f t="shared" si="31"/>
        <v>7.5495049504950465E-2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3.8761609907120742</v>
      </c>
      <c r="D297" s="466">
        <f>IF(LN_ID4=0,0,LN_ID11/LN_ID4)</f>
        <v>3.8392156862745099</v>
      </c>
      <c r="E297" s="466">
        <f t="shared" si="30"/>
        <v>-3.6945304437564275E-2</v>
      </c>
      <c r="F297" s="503">
        <f t="shared" si="31"/>
        <v>-9.5314164004259277E-3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4.4000000000000004</v>
      </c>
      <c r="D298" s="466">
        <f>IF(LN_IE4=0,0,LN_IE11/LN_IE4)</f>
        <v>3.1428571428571428</v>
      </c>
      <c r="E298" s="466">
        <f t="shared" si="30"/>
        <v>-1.2571428571428576</v>
      </c>
      <c r="F298" s="503">
        <f t="shared" si="31"/>
        <v>-0.28571428571428581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0</v>
      </c>
      <c r="D299" s="466">
        <f>IF(LN_IG3=0,0,LN_IG6/LN_IG3)</f>
        <v>2</v>
      </c>
      <c r="E299" s="466">
        <f t="shared" si="30"/>
        <v>2</v>
      </c>
      <c r="F299" s="503">
        <f t="shared" si="31"/>
        <v>0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3.7831927522649171</v>
      </c>
      <c r="D300" s="466">
        <f>IF(LN_IIA4=0,0,LN_IIA14/LN_IIA4)</f>
        <v>3.8440972222222221</v>
      </c>
      <c r="E300" s="466">
        <f t="shared" si="30"/>
        <v>6.0904469957304919E-2</v>
      </c>
      <c r="F300" s="503">
        <f t="shared" si="31"/>
        <v>1.6098695981282662E-2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201245838</v>
      </c>
      <c r="D304" s="441">
        <f>LN_IIA11</f>
        <v>207773120</v>
      </c>
      <c r="E304" s="441">
        <f t="shared" ref="E304:E316" si="32">D304-C304</f>
        <v>6527282</v>
      </c>
      <c r="F304" s="449">
        <f>IF(C304=0,0,E304/C304)</f>
        <v>3.2434370145831289E-2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96688796</v>
      </c>
      <c r="D305" s="441">
        <f>LN_IIB14</f>
        <v>99501518</v>
      </c>
      <c r="E305" s="441">
        <f t="shared" si="32"/>
        <v>2812722</v>
      </c>
      <c r="F305" s="449">
        <f>IF(C305=0,0,E305/C305)</f>
        <v>2.9090464628393965E-2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3802054</v>
      </c>
      <c r="D306" s="441">
        <f>LN_IH6</f>
        <v>4283068</v>
      </c>
      <c r="E306" s="441">
        <f t="shared" si="32"/>
        <v>481014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32529837</v>
      </c>
      <c r="D307" s="441">
        <f>LN_IB32-LN_IB33</f>
        <v>39178441</v>
      </c>
      <c r="E307" s="441">
        <f t="shared" si="32"/>
        <v>6648604</v>
      </c>
      <c r="F307" s="449">
        <f t="shared" ref="F307:F316" si="33">IF(C307=0,0,E307/C307)</f>
        <v>0.20438479295177531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1864058</v>
      </c>
      <c r="D308" s="441">
        <v>1957151</v>
      </c>
      <c r="E308" s="441">
        <f t="shared" si="32"/>
        <v>93093</v>
      </c>
      <c r="F308" s="449">
        <f t="shared" si="33"/>
        <v>4.9941042607043344E-2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134884745</v>
      </c>
      <c r="D309" s="441">
        <f>LN_III2+LN_III3+LN_III4+LN_III5</f>
        <v>144920178</v>
      </c>
      <c r="E309" s="441">
        <f t="shared" si="32"/>
        <v>10035433</v>
      </c>
      <c r="F309" s="449">
        <f t="shared" si="33"/>
        <v>7.4400059102309901E-2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66361093</v>
      </c>
      <c r="D310" s="441">
        <f>LN_III1-LN_III6</f>
        <v>62852942</v>
      </c>
      <c r="E310" s="441">
        <f t="shared" si="32"/>
        <v>-3508151</v>
      </c>
      <c r="F310" s="449">
        <f t="shared" si="33"/>
        <v>-5.2864575331813775E-2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66361093</v>
      </c>
      <c r="D312" s="441">
        <f>LN_III7+LN_III8</f>
        <v>62852942</v>
      </c>
      <c r="E312" s="441">
        <f t="shared" si="32"/>
        <v>-3508151</v>
      </c>
      <c r="F312" s="449">
        <f t="shared" si="33"/>
        <v>-5.2864575331813775E-2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0.32975138099501966</v>
      </c>
      <c r="D313" s="532">
        <f>IF(LN_III1=0,0,LN_III9/LN_III1)</f>
        <v>0.30250757172053827</v>
      </c>
      <c r="E313" s="532">
        <f t="shared" si="32"/>
        <v>-2.724380927448139E-2</v>
      </c>
      <c r="F313" s="449">
        <f t="shared" si="33"/>
        <v>-8.2619242388837374E-2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1253732.5571176384</v>
      </c>
      <c r="D314" s="441">
        <f>D313*LN_III5</f>
        <v>1295660.5001939423</v>
      </c>
      <c r="E314" s="441">
        <f t="shared" si="32"/>
        <v>41927.943076303927</v>
      </c>
      <c r="F314" s="449">
        <f t="shared" si="33"/>
        <v>3.3442493646888526E-2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2358099.9335085433</v>
      </c>
      <c r="D315" s="441">
        <f>D313*LN_IH8-LN_IH9</f>
        <v>2223512.5355092045</v>
      </c>
      <c r="E315" s="441">
        <f t="shared" si="32"/>
        <v>-134587.39799933881</v>
      </c>
      <c r="F315" s="449">
        <f t="shared" si="33"/>
        <v>-5.7074509899625168E-2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3611832.4906261815</v>
      </c>
      <c r="D318" s="441">
        <f>D314+D315+D316</f>
        <v>3519173.0357031468</v>
      </c>
      <c r="E318" s="441">
        <f>D318-C318</f>
        <v>-92659.454923034646</v>
      </c>
      <c r="F318" s="449">
        <f>IF(C318=0,0,E318/C318)</f>
        <v>-2.5654416466852903E-2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859916.10683510988</v>
      </c>
      <c r="D322" s="441">
        <f>LN_ID22</f>
        <v>682176.04130741546</v>
      </c>
      <c r="E322" s="441">
        <f>LN_IV2-C322</f>
        <v>-177740.06552769442</v>
      </c>
      <c r="F322" s="449">
        <f>IF(C322=0,0,E322/C322)</f>
        <v>-0.20669465790315325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13650.116674619418</v>
      </c>
      <c r="D323" s="441">
        <f>LN_IE10+LN_IE22</f>
        <v>-31949.503739933007</v>
      </c>
      <c r="E323" s="441">
        <f>LN_IV3-C323</f>
        <v>-45599.620414552424</v>
      </c>
      <c r="F323" s="449">
        <f>IF(C323=0,0,E323/C323)</f>
        <v>-3.3406029780931377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1111601.1610850694</v>
      </c>
      <c r="D324" s="441">
        <f>LN_IC10+LN_IC22</f>
        <v>1179459.7097071751</v>
      </c>
      <c r="E324" s="441">
        <f>LN_IV1-C324</f>
        <v>67858.548622105736</v>
      </c>
      <c r="F324" s="449">
        <f>IF(C324=0,0,E324/C324)</f>
        <v>6.1045769829771356E-2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1985167.3845947988</v>
      </c>
      <c r="D325" s="516">
        <f>LN_IV1+LN_IV2+LN_IV3</f>
        <v>1829686.2472746577</v>
      </c>
      <c r="E325" s="441">
        <f>LN_IV4-C325</f>
        <v>-155481.13732014108</v>
      </c>
      <c r="F325" s="449">
        <f>IF(C325=0,0,E325/C325)</f>
        <v>-7.8321424443449139E-2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1864058</v>
      </c>
      <c r="D329" s="518">
        <v>1957151</v>
      </c>
      <c r="E329" s="518">
        <f t="shared" ref="E329:E335" si="34">D329-C329</f>
        <v>93093</v>
      </c>
      <c r="F329" s="542">
        <f t="shared" ref="F329:F335" si="35">IF(C329=0,0,E329/C329)</f>
        <v>4.9941042607043344E-2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-1796306</v>
      </c>
      <c r="D330" s="516">
        <v>-829025</v>
      </c>
      <c r="E330" s="518">
        <f t="shared" si="34"/>
        <v>967281</v>
      </c>
      <c r="F330" s="543">
        <f t="shared" si="35"/>
        <v>-0.53848342097615887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60372640</v>
      </c>
      <c r="D331" s="516">
        <v>62023918</v>
      </c>
      <c r="E331" s="518">
        <f t="shared" si="34"/>
        <v>1651278</v>
      </c>
      <c r="F331" s="542">
        <f t="shared" si="35"/>
        <v>2.7351429389206768E-2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201245838</v>
      </c>
      <c r="D333" s="516">
        <v>207773119</v>
      </c>
      <c r="E333" s="518">
        <f t="shared" si="34"/>
        <v>6527281</v>
      </c>
      <c r="F333" s="542">
        <f t="shared" si="35"/>
        <v>3.2434365176784427E-2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3802054</v>
      </c>
      <c r="D335" s="516">
        <v>4283068</v>
      </c>
      <c r="E335" s="516">
        <f t="shared" si="34"/>
        <v>481014</v>
      </c>
      <c r="F335" s="542">
        <f t="shared" si="35"/>
        <v>0.12651424729895999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FILING&amp;RMILFORD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29546764</v>
      </c>
      <c r="D14" s="589">
        <v>30427605</v>
      </c>
      <c r="E14" s="590">
        <f t="shared" ref="E14:E22" si="0">D14-C14</f>
        <v>880841</v>
      </c>
    </row>
    <row r="15" spans="1:5" s="421" customFormat="1" x14ac:dyDescent="0.2">
      <c r="A15" s="588">
        <v>2</v>
      </c>
      <c r="B15" s="587" t="s">
        <v>636</v>
      </c>
      <c r="C15" s="589">
        <v>68152688</v>
      </c>
      <c r="D15" s="591">
        <v>70193326</v>
      </c>
      <c r="E15" s="590">
        <f t="shared" si="0"/>
        <v>2040638</v>
      </c>
    </row>
    <row r="16" spans="1:5" s="421" customFormat="1" x14ac:dyDescent="0.2">
      <c r="A16" s="588">
        <v>3</v>
      </c>
      <c r="B16" s="587" t="s">
        <v>778</v>
      </c>
      <c r="C16" s="589">
        <v>8101090</v>
      </c>
      <c r="D16" s="591">
        <v>7939514</v>
      </c>
      <c r="E16" s="590">
        <f t="shared" si="0"/>
        <v>-161576</v>
      </c>
    </row>
    <row r="17" spans="1:5" s="421" customFormat="1" x14ac:dyDescent="0.2">
      <c r="A17" s="588">
        <v>4</v>
      </c>
      <c r="B17" s="587" t="s">
        <v>115</v>
      </c>
      <c r="C17" s="589">
        <v>7962245</v>
      </c>
      <c r="D17" s="591">
        <v>7791203</v>
      </c>
      <c r="E17" s="590">
        <f t="shared" si="0"/>
        <v>-171042</v>
      </c>
    </row>
    <row r="18" spans="1:5" s="421" customFormat="1" x14ac:dyDescent="0.2">
      <c r="A18" s="588">
        <v>5</v>
      </c>
      <c r="B18" s="587" t="s">
        <v>744</v>
      </c>
      <c r="C18" s="589">
        <v>138845</v>
      </c>
      <c r="D18" s="591">
        <v>148311</v>
      </c>
      <c r="E18" s="590">
        <f t="shared" si="0"/>
        <v>9466</v>
      </c>
    </row>
    <row r="19" spans="1:5" s="421" customFormat="1" x14ac:dyDescent="0.2">
      <c r="A19" s="588">
        <v>6</v>
      </c>
      <c r="B19" s="587" t="s">
        <v>424</v>
      </c>
      <c r="C19" s="589">
        <v>0</v>
      </c>
      <c r="D19" s="591">
        <v>19106</v>
      </c>
      <c r="E19" s="590">
        <f t="shared" si="0"/>
        <v>19106</v>
      </c>
    </row>
    <row r="20" spans="1:5" s="421" customFormat="1" x14ac:dyDescent="0.2">
      <c r="A20" s="588">
        <v>7</v>
      </c>
      <c r="B20" s="587" t="s">
        <v>759</v>
      </c>
      <c r="C20" s="589">
        <v>758177</v>
      </c>
      <c r="D20" s="591">
        <v>605694</v>
      </c>
      <c r="E20" s="590">
        <f t="shared" si="0"/>
        <v>-152483</v>
      </c>
    </row>
    <row r="21" spans="1:5" s="421" customFormat="1" x14ac:dyDescent="0.2">
      <c r="A21" s="588"/>
      <c r="B21" s="592" t="s">
        <v>779</v>
      </c>
      <c r="C21" s="593">
        <f>SUM(C15+C16+C19)</f>
        <v>76253778</v>
      </c>
      <c r="D21" s="593">
        <f>SUM(D15+D16+D19)</f>
        <v>78151946</v>
      </c>
      <c r="E21" s="593">
        <f t="shared" si="0"/>
        <v>1898168</v>
      </c>
    </row>
    <row r="22" spans="1:5" s="421" customFormat="1" x14ac:dyDescent="0.2">
      <c r="A22" s="588"/>
      <c r="B22" s="592" t="s">
        <v>465</v>
      </c>
      <c r="C22" s="593">
        <f>SUM(C14+C21)</f>
        <v>105800542</v>
      </c>
      <c r="D22" s="593">
        <f>SUM(D14+D21)</f>
        <v>108579551</v>
      </c>
      <c r="E22" s="593">
        <f t="shared" si="0"/>
        <v>2779009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41667397</v>
      </c>
      <c r="D25" s="589">
        <v>44548966</v>
      </c>
      <c r="E25" s="590">
        <f t="shared" ref="E25:E33" si="1">D25-C25</f>
        <v>2881569</v>
      </c>
    </row>
    <row r="26" spans="1:5" s="421" customFormat="1" x14ac:dyDescent="0.2">
      <c r="A26" s="588">
        <v>2</v>
      </c>
      <c r="B26" s="587" t="s">
        <v>636</v>
      </c>
      <c r="C26" s="589">
        <v>34924535</v>
      </c>
      <c r="D26" s="591">
        <v>35862097</v>
      </c>
      <c r="E26" s="590">
        <f t="shared" si="1"/>
        <v>937562</v>
      </c>
    </row>
    <row r="27" spans="1:5" s="421" customFormat="1" x14ac:dyDescent="0.2">
      <c r="A27" s="588">
        <v>3</v>
      </c>
      <c r="B27" s="587" t="s">
        <v>778</v>
      </c>
      <c r="C27" s="589">
        <v>18713821</v>
      </c>
      <c r="D27" s="591">
        <v>18598445</v>
      </c>
      <c r="E27" s="590">
        <f t="shared" si="1"/>
        <v>-115376</v>
      </c>
    </row>
    <row r="28" spans="1:5" s="421" customFormat="1" x14ac:dyDescent="0.2">
      <c r="A28" s="588">
        <v>4</v>
      </c>
      <c r="B28" s="587" t="s">
        <v>115</v>
      </c>
      <c r="C28" s="589">
        <v>18535877</v>
      </c>
      <c r="D28" s="591">
        <v>18369635</v>
      </c>
      <c r="E28" s="590">
        <f t="shared" si="1"/>
        <v>-166242</v>
      </c>
    </row>
    <row r="29" spans="1:5" s="421" customFormat="1" x14ac:dyDescent="0.2">
      <c r="A29" s="588">
        <v>5</v>
      </c>
      <c r="B29" s="587" t="s">
        <v>744</v>
      </c>
      <c r="C29" s="589">
        <v>177944</v>
      </c>
      <c r="D29" s="591">
        <v>228810</v>
      </c>
      <c r="E29" s="590">
        <f t="shared" si="1"/>
        <v>50866</v>
      </c>
    </row>
    <row r="30" spans="1:5" s="421" customFormat="1" x14ac:dyDescent="0.2">
      <c r="A30" s="588">
        <v>6</v>
      </c>
      <c r="B30" s="587" t="s">
        <v>424</v>
      </c>
      <c r="C30" s="589">
        <v>139543</v>
      </c>
      <c r="D30" s="591">
        <v>184061</v>
      </c>
      <c r="E30" s="590">
        <f t="shared" si="1"/>
        <v>44518</v>
      </c>
    </row>
    <row r="31" spans="1:5" s="421" customFormat="1" x14ac:dyDescent="0.2">
      <c r="A31" s="588">
        <v>7</v>
      </c>
      <c r="B31" s="587" t="s">
        <v>759</v>
      </c>
      <c r="C31" s="590">
        <v>3899766</v>
      </c>
      <c r="D31" s="594">
        <v>4578715</v>
      </c>
      <c r="E31" s="590">
        <f t="shared" si="1"/>
        <v>678949</v>
      </c>
    </row>
    <row r="32" spans="1:5" s="421" customFormat="1" x14ac:dyDescent="0.2">
      <c r="A32" s="588"/>
      <c r="B32" s="592" t="s">
        <v>781</v>
      </c>
      <c r="C32" s="593">
        <f>SUM(C26+C27+C30)</f>
        <v>53777899</v>
      </c>
      <c r="D32" s="593">
        <f>SUM(D26+D27+D30)</f>
        <v>54644603</v>
      </c>
      <c r="E32" s="593">
        <f t="shared" si="1"/>
        <v>866704</v>
      </c>
    </row>
    <row r="33" spans="1:5" s="421" customFormat="1" x14ac:dyDescent="0.2">
      <c r="A33" s="588"/>
      <c r="B33" s="592" t="s">
        <v>467</v>
      </c>
      <c r="C33" s="593">
        <f>SUM(C25+C32)</f>
        <v>95445296</v>
      </c>
      <c r="D33" s="593">
        <f>SUM(D25+D32)</f>
        <v>99193569</v>
      </c>
      <c r="E33" s="593">
        <f t="shared" si="1"/>
        <v>3748273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71214161</v>
      </c>
      <c r="D36" s="590">
        <f t="shared" si="2"/>
        <v>74976571</v>
      </c>
      <c r="E36" s="590">
        <f t="shared" ref="E36:E44" si="3">D36-C36</f>
        <v>3762410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103077223</v>
      </c>
      <c r="D37" s="590">
        <f t="shared" si="2"/>
        <v>106055423</v>
      </c>
      <c r="E37" s="590">
        <f t="shared" si="3"/>
        <v>2978200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26814911</v>
      </c>
      <c r="D38" s="590">
        <f t="shared" si="2"/>
        <v>26537959</v>
      </c>
      <c r="E38" s="590">
        <f t="shared" si="3"/>
        <v>-276952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26498122</v>
      </c>
      <c r="D39" s="590">
        <f t="shared" si="2"/>
        <v>26160838</v>
      </c>
      <c r="E39" s="590">
        <f t="shared" si="3"/>
        <v>-337284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316789</v>
      </c>
      <c r="D40" s="590">
        <f t="shared" si="2"/>
        <v>377121</v>
      </c>
      <c r="E40" s="590">
        <f t="shared" si="3"/>
        <v>60332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139543</v>
      </c>
      <c r="D41" s="590">
        <f t="shared" si="2"/>
        <v>203167</v>
      </c>
      <c r="E41" s="590">
        <f t="shared" si="3"/>
        <v>63624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4657943</v>
      </c>
      <c r="D42" s="590">
        <f t="shared" si="2"/>
        <v>5184409</v>
      </c>
      <c r="E42" s="590">
        <f t="shared" si="3"/>
        <v>526466</v>
      </c>
    </row>
    <row r="43" spans="1:5" s="421" customFormat="1" x14ac:dyDescent="0.2">
      <c r="A43" s="588"/>
      <c r="B43" s="592" t="s">
        <v>789</v>
      </c>
      <c r="C43" s="593">
        <f>SUM(C37+C38+C41)</f>
        <v>130031677</v>
      </c>
      <c r="D43" s="593">
        <f>SUM(D37+D38+D41)</f>
        <v>132796549</v>
      </c>
      <c r="E43" s="593">
        <f t="shared" si="3"/>
        <v>2764872</v>
      </c>
    </row>
    <row r="44" spans="1:5" s="421" customFormat="1" x14ac:dyDescent="0.2">
      <c r="A44" s="588"/>
      <c r="B44" s="592" t="s">
        <v>726</v>
      </c>
      <c r="C44" s="593">
        <f>SUM(C36+C43)</f>
        <v>201245838</v>
      </c>
      <c r="D44" s="593">
        <f>SUM(D36+D43)</f>
        <v>207773120</v>
      </c>
      <c r="E44" s="593">
        <f t="shared" si="3"/>
        <v>6527282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11546348</v>
      </c>
      <c r="D47" s="589">
        <v>11082924</v>
      </c>
      <c r="E47" s="590">
        <f t="shared" ref="E47:E55" si="4">D47-C47</f>
        <v>-463424</v>
      </c>
    </row>
    <row r="48" spans="1:5" s="421" customFormat="1" x14ac:dyDescent="0.2">
      <c r="A48" s="588">
        <v>2</v>
      </c>
      <c r="B48" s="587" t="s">
        <v>636</v>
      </c>
      <c r="C48" s="589">
        <v>19042627</v>
      </c>
      <c r="D48" s="591">
        <v>19869243</v>
      </c>
      <c r="E48" s="590">
        <f t="shared" si="4"/>
        <v>826616</v>
      </c>
    </row>
    <row r="49" spans="1:5" s="421" customFormat="1" x14ac:dyDescent="0.2">
      <c r="A49" s="588">
        <v>3</v>
      </c>
      <c r="B49" s="587" t="s">
        <v>778</v>
      </c>
      <c r="C49" s="589">
        <v>1427374</v>
      </c>
      <c r="D49" s="591">
        <v>1421978</v>
      </c>
      <c r="E49" s="590">
        <f t="shared" si="4"/>
        <v>-5396</v>
      </c>
    </row>
    <row r="50" spans="1:5" s="421" customFormat="1" x14ac:dyDescent="0.2">
      <c r="A50" s="588">
        <v>4</v>
      </c>
      <c r="B50" s="587" t="s">
        <v>115</v>
      </c>
      <c r="C50" s="589">
        <v>1391159</v>
      </c>
      <c r="D50" s="591">
        <v>1350019</v>
      </c>
      <c r="E50" s="590">
        <f t="shared" si="4"/>
        <v>-41140</v>
      </c>
    </row>
    <row r="51" spans="1:5" s="421" customFormat="1" x14ac:dyDescent="0.2">
      <c r="A51" s="588">
        <v>5</v>
      </c>
      <c r="B51" s="587" t="s">
        <v>744</v>
      </c>
      <c r="C51" s="589">
        <v>36215</v>
      </c>
      <c r="D51" s="591">
        <v>71959</v>
      </c>
      <c r="E51" s="590">
        <f t="shared" si="4"/>
        <v>35744</v>
      </c>
    </row>
    <row r="52" spans="1:5" s="421" customFormat="1" x14ac:dyDescent="0.2">
      <c r="A52" s="588">
        <v>6</v>
      </c>
      <c r="B52" s="587" t="s">
        <v>424</v>
      </c>
      <c r="C52" s="589">
        <v>0</v>
      </c>
      <c r="D52" s="591">
        <v>12304</v>
      </c>
      <c r="E52" s="590">
        <f t="shared" si="4"/>
        <v>12304</v>
      </c>
    </row>
    <row r="53" spans="1:5" s="421" customFormat="1" x14ac:dyDescent="0.2">
      <c r="A53" s="588">
        <v>7</v>
      </c>
      <c r="B53" s="587" t="s">
        <v>759</v>
      </c>
      <c r="C53" s="589">
        <v>75818</v>
      </c>
      <c r="D53" s="591">
        <v>55814</v>
      </c>
      <c r="E53" s="590">
        <f t="shared" si="4"/>
        <v>-20004</v>
      </c>
    </row>
    <row r="54" spans="1:5" s="421" customFormat="1" x14ac:dyDescent="0.2">
      <c r="A54" s="588"/>
      <c r="B54" s="592" t="s">
        <v>791</v>
      </c>
      <c r="C54" s="593">
        <f>SUM(C48+C49+C52)</f>
        <v>20470001</v>
      </c>
      <c r="D54" s="593">
        <f>SUM(D48+D49+D52)</f>
        <v>21303525</v>
      </c>
      <c r="E54" s="593">
        <f t="shared" si="4"/>
        <v>833524</v>
      </c>
    </row>
    <row r="55" spans="1:5" s="421" customFormat="1" x14ac:dyDescent="0.2">
      <c r="A55" s="588"/>
      <c r="B55" s="592" t="s">
        <v>466</v>
      </c>
      <c r="C55" s="593">
        <f>SUM(C47+C54)</f>
        <v>32016349</v>
      </c>
      <c r="D55" s="593">
        <f>SUM(D47+D54)</f>
        <v>32386449</v>
      </c>
      <c r="E55" s="593">
        <f t="shared" si="4"/>
        <v>370100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17279715</v>
      </c>
      <c r="D58" s="589">
        <v>18474987</v>
      </c>
      <c r="E58" s="590">
        <f t="shared" ref="E58:E66" si="5">D58-C58</f>
        <v>1195272</v>
      </c>
    </row>
    <row r="59" spans="1:5" s="421" customFormat="1" x14ac:dyDescent="0.2">
      <c r="A59" s="588">
        <v>2</v>
      </c>
      <c r="B59" s="587" t="s">
        <v>636</v>
      </c>
      <c r="C59" s="589">
        <v>7777901</v>
      </c>
      <c r="D59" s="591">
        <v>7551820</v>
      </c>
      <c r="E59" s="590">
        <f t="shared" si="5"/>
        <v>-226081</v>
      </c>
    </row>
    <row r="60" spans="1:5" s="421" customFormat="1" x14ac:dyDescent="0.2">
      <c r="A60" s="588">
        <v>3</v>
      </c>
      <c r="B60" s="587" t="s">
        <v>778</v>
      </c>
      <c r="C60" s="589">
        <f>C61+C62</f>
        <v>5056780</v>
      </c>
      <c r="D60" s="591">
        <f>D61+D62</f>
        <v>4382443</v>
      </c>
      <c r="E60" s="590">
        <f t="shared" si="5"/>
        <v>-674337</v>
      </c>
    </row>
    <row r="61" spans="1:5" s="421" customFormat="1" x14ac:dyDescent="0.2">
      <c r="A61" s="588">
        <v>4</v>
      </c>
      <c r="B61" s="587" t="s">
        <v>115</v>
      </c>
      <c r="C61" s="589">
        <v>5019976</v>
      </c>
      <c r="D61" s="591">
        <v>4285321</v>
      </c>
      <c r="E61" s="590">
        <f t="shared" si="5"/>
        <v>-734655</v>
      </c>
    </row>
    <row r="62" spans="1:5" s="421" customFormat="1" x14ac:dyDescent="0.2">
      <c r="A62" s="588">
        <v>5</v>
      </c>
      <c r="B62" s="587" t="s">
        <v>744</v>
      </c>
      <c r="C62" s="589">
        <v>36804</v>
      </c>
      <c r="D62" s="591">
        <v>97122</v>
      </c>
      <c r="E62" s="590">
        <f t="shared" si="5"/>
        <v>60318</v>
      </c>
    </row>
    <row r="63" spans="1:5" s="421" customFormat="1" x14ac:dyDescent="0.2">
      <c r="A63" s="588">
        <v>6</v>
      </c>
      <c r="B63" s="587" t="s">
        <v>424</v>
      </c>
      <c r="C63" s="589">
        <v>38199</v>
      </c>
      <c r="D63" s="591">
        <v>57243</v>
      </c>
      <c r="E63" s="590">
        <f t="shared" si="5"/>
        <v>19044</v>
      </c>
    </row>
    <row r="64" spans="1:5" s="421" customFormat="1" x14ac:dyDescent="0.2">
      <c r="A64" s="588">
        <v>7</v>
      </c>
      <c r="B64" s="587" t="s">
        <v>759</v>
      </c>
      <c r="C64" s="589">
        <v>389977</v>
      </c>
      <c r="D64" s="591">
        <v>444186</v>
      </c>
      <c r="E64" s="590">
        <f t="shared" si="5"/>
        <v>54209</v>
      </c>
    </row>
    <row r="65" spans="1:5" s="421" customFormat="1" x14ac:dyDescent="0.2">
      <c r="A65" s="588"/>
      <c r="B65" s="592" t="s">
        <v>793</v>
      </c>
      <c r="C65" s="593">
        <f>SUM(C59+C60+C63)</f>
        <v>12872880</v>
      </c>
      <c r="D65" s="593">
        <f>SUM(D59+D60+D63)</f>
        <v>11991506</v>
      </c>
      <c r="E65" s="593">
        <f t="shared" si="5"/>
        <v>-881374</v>
      </c>
    </row>
    <row r="66" spans="1:5" s="421" customFormat="1" x14ac:dyDescent="0.2">
      <c r="A66" s="588"/>
      <c r="B66" s="592" t="s">
        <v>468</v>
      </c>
      <c r="C66" s="593">
        <f>SUM(C58+C65)</f>
        <v>30152595</v>
      </c>
      <c r="D66" s="593">
        <f>SUM(D58+D65)</f>
        <v>30466493</v>
      </c>
      <c r="E66" s="593">
        <f t="shared" si="5"/>
        <v>313898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28826063</v>
      </c>
      <c r="D69" s="590">
        <f t="shared" si="6"/>
        <v>29557911</v>
      </c>
      <c r="E69" s="590">
        <f t="shared" ref="E69:E77" si="7">D69-C69</f>
        <v>731848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26820528</v>
      </c>
      <c r="D70" s="590">
        <f t="shared" si="6"/>
        <v>27421063</v>
      </c>
      <c r="E70" s="590">
        <f t="shared" si="7"/>
        <v>600535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6484154</v>
      </c>
      <c r="D71" s="590">
        <f t="shared" si="6"/>
        <v>5804421</v>
      </c>
      <c r="E71" s="590">
        <f t="shared" si="7"/>
        <v>-679733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6411135</v>
      </c>
      <c r="D72" s="590">
        <f t="shared" si="6"/>
        <v>5635340</v>
      </c>
      <c r="E72" s="590">
        <f t="shared" si="7"/>
        <v>-775795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73019</v>
      </c>
      <c r="D73" s="590">
        <f t="shared" si="6"/>
        <v>169081</v>
      </c>
      <c r="E73" s="590">
        <f t="shared" si="7"/>
        <v>96062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38199</v>
      </c>
      <c r="D74" s="590">
        <f t="shared" si="6"/>
        <v>69547</v>
      </c>
      <c r="E74" s="590">
        <f t="shared" si="7"/>
        <v>31348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465795</v>
      </c>
      <c r="D75" s="590">
        <f t="shared" si="6"/>
        <v>500000</v>
      </c>
      <c r="E75" s="590">
        <f t="shared" si="7"/>
        <v>34205</v>
      </c>
    </row>
    <row r="76" spans="1:5" s="421" customFormat="1" x14ac:dyDescent="0.2">
      <c r="A76" s="588"/>
      <c r="B76" s="592" t="s">
        <v>794</v>
      </c>
      <c r="C76" s="593">
        <f>SUM(C70+C71+C74)</f>
        <v>33342881</v>
      </c>
      <c r="D76" s="593">
        <f>SUM(D70+D71+D74)</f>
        <v>33295031</v>
      </c>
      <c r="E76" s="593">
        <f t="shared" si="7"/>
        <v>-47850</v>
      </c>
    </row>
    <row r="77" spans="1:5" s="421" customFormat="1" x14ac:dyDescent="0.2">
      <c r="A77" s="588"/>
      <c r="B77" s="592" t="s">
        <v>727</v>
      </c>
      <c r="C77" s="593">
        <f>SUM(C69+C76)</f>
        <v>62168944</v>
      </c>
      <c r="D77" s="593">
        <f>SUM(D69+D76)</f>
        <v>62852942</v>
      </c>
      <c r="E77" s="593">
        <f t="shared" si="7"/>
        <v>683998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0.14681925496516354</v>
      </c>
      <c r="D83" s="599">
        <f t="shared" si="8"/>
        <v>0.14644630161976679</v>
      </c>
      <c r="E83" s="599">
        <f t="shared" ref="E83:E91" si="9">D83-C83</f>
        <v>-3.7295334539674818E-4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0.33865390050948529</v>
      </c>
      <c r="D84" s="599">
        <f t="shared" si="8"/>
        <v>0.33783641502808448</v>
      </c>
      <c r="E84" s="599">
        <f t="shared" si="9"/>
        <v>-8.1748548140081478E-4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4.0254695851150969E-2</v>
      </c>
      <c r="D85" s="599">
        <f t="shared" si="8"/>
        <v>3.8212421318022272E-2</v>
      </c>
      <c r="E85" s="599">
        <f t="shared" si="9"/>
        <v>-2.0422745331286976E-3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3.956476853946167E-2</v>
      </c>
      <c r="D86" s="599">
        <f t="shared" si="8"/>
        <v>3.7498609059728225E-2</v>
      </c>
      <c r="E86" s="599">
        <f t="shared" si="9"/>
        <v>-2.0661594797334454E-3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6.8992731168929819E-4</v>
      </c>
      <c r="D87" s="599">
        <f t="shared" si="8"/>
        <v>7.1381225829404693E-4</v>
      </c>
      <c r="E87" s="599">
        <f t="shared" si="9"/>
        <v>2.3884946604748746E-5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0</v>
      </c>
      <c r="D88" s="599">
        <f t="shared" si="8"/>
        <v>9.1956072084781705E-5</v>
      </c>
      <c r="E88" s="599">
        <f t="shared" si="9"/>
        <v>9.1956072084781705E-5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3.7674170434272534E-3</v>
      </c>
      <c r="D89" s="599">
        <f t="shared" si="8"/>
        <v>2.91517016253113E-3</v>
      </c>
      <c r="E89" s="599">
        <f t="shared" si="9"/>
        <v>-8.5224688089612349E-4</v>
      </c>
    </row>
    <row r="90" spans="1:5" s="421" customFormat="1" x14ac:dyDescent="0.2">
      <c r="A90" s="588"/>
      <c r="B90" s="592" t="s">
        <v>797</v>
      </c>
      <c r="C90" s="600">
        <f>SUM(C84+C85+C88)</f>
        <v>0.37890859636063629</v>
      </c>
      <c r="D90" s="600">
        <f>SUM(D84+D85+D88)</f>
        <v>0.37614079241819154</v>
      </c>
      <c r="E90" s="601">
        <f t="shared" si="9"/>
        <v>-2.7678039424447465E-3</v>
      </c>
    </row>
    <row r="91" spans="1:5" s="421" customFormat="1" x14ac:dyDescent="0.2">
      <c r="A91" s="588"/>
      <c r="B91" s="592" t="s">
        <v>798</v>
      </c>
      <c r="C91" s="600">
        <f>SUM(C83+C90)</f>
        <v>0.5257278513257998</v>
      </c>
      <c r="D91" s="600">
        <f>SUM(D83+D90)</f>
        <v>0.52258709403795833</v>
      </c>
      <c r="E91" s="601">
        <f t="shared" si="9"/>
        <v>-3.1407572878414669E-3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0.20704724835104416</v>
      </c>
      <c r="D95" s="599">
        <f t="shared" si="10"/>
        <v>0.21441159472409135</v>
      </c>
      <c r="E95" s="599">
        <f t="shared" ref="E95:E103" si="11">D95-C95</f>
        <v>7.3643463730471981E-3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0.17354165108249345</v>
      </c>
      <c r="D96" s="599">
        <f t="shared" si="10"/>
        <v>0.17260219705032104</v>
      </c>
      <c r="E96" s="599">
        <f t="shared" si="11"/>
        <v>-9.3945403217240986E-4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9.2989853534262909E-2</v>
      </c>
      <c r="D97" s="599">
        <f t="shared" si="10"/>
        <v>8.9513239248657381E-2</v>
      </c>
      <c r="E97" s="599">
        <f t="shared" si="11"/>
        <v>-3.4766142856055282E-3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9.2105641459278284E-2</v>
      </c>
      <c r="D98" s="599">
        <f t="shared" si="10"/>
        <v>8.8411989962897994E-2</v>
      </c>
      <c r="E98" s="599">
        <f t="shared" si="11"/>
        <v>-3.6936514963802902E-3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8.8421207498462647E-4</v>
      </c>
      <c r="D99" s="599">
        <f t="shared" si="10"/>
        <v>1.1012492857593898E-3</v>
      </c>
      <c r="E99" s="599">
        <f t="shared" si="11"/>
        <v>2.1703721077476331E-4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6.9339570639965239E-4</v>
      </c>
      <c r="D100" s="599">
        <f t="shared" si="10"/>
        <v>8.8587493897189398E-4</v>
      </c>
      <c r="E100" s="599">
        <f t="shared" si="11"/>
        <v>1.9247923257224159E-4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1.9378120008623483E-2</v>
      </c>
      <c r="D101" s="599">
        <f t="shared" si="10"/>
        <v>2.2037090264611706E-2</v>
      </c>
      <c r="E101" s="599">
        <f t="shared" si="11"/>
        <v>2.6589702559882238E-3</v>
      </c>
    </row>
    <row r="102" spans="1:5" s="421" customFormat="1" x14ac:dyDescent="0.2">
      <c r="A102" s="588"/>
      <c r="B102" s="592" t="s">
        <v>800</v>
      </c>
      <c r="C102" s="600">
        <f>SUM(C96+C97+C100)</f>
        <v>0.26722490032315599</v>
      </c>
      <c r="D102" s="600">
        <f>SUM(D96+D97+D100)</f>
        <v>0.26300131123795034</v>
      </c>
      <c r="E102" s="601">
        <f t="shared" si="11"/>
        <v>-4.2235890852056479E-3</v>
      </c>
    </row>
    <row r="103" spans="1:5" s="421" customFormat="1" x14ac:dyDescent="0.2">
      <c r="A103" s="588"/>
      <c r="B103" s="592" t="s">
        <v>801</v>
      </c>
      <c r="C103" s="600">
        <f>SUM(C95+C102)</f>
        <v>0.47427214867420014</v>
      </c>
      <c r="D103" s="600">
        <f>SUM(D95+D102)</f>
        <v>0.47741290596204167</v>
      </c>
      <c r="E103" s="601">
        <f t="shared" si="11"/>
        <v>3.1407572878415224E-3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0.18572533578823536</v>
      </c>
      <c r="D109" s="599">
        <f t="shared" si="12"/>
        <v>0.17633102997788075</v>
      </c>
      <c r="E109" s="599">
        <f t="shared" ref="E109:E117" si="13">D109-C109</f>
        <v>-9.3943058103546084E-3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0.30630449505463692</v>
      </c>
      <c r="D110" s="599">
        <f t="shared" si="12"/>
        <v>0.31612272023798027</v>
      </c>
      <c r="E110" s="599">
        <f t="shared" si="13"/>
        <v>9.8182251833433543E-3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2.295959860601782E-2</v>
      </c>
      <c r="D111" s="599">
        <f t="shared" si="12"/>
        <v>2.2623889268381422E-2</v>
      </c>
      <c r="E111" s="599">
        <f t="shared" si="13"/>
        <v>-3.3570933763639801E-4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2.2377073028616988E-2</v>
      </c>
      <c r="D112" s="599">
        <f t="shared" si="12"/>
        <v>2.1479010481323214E-2</v>
      </c>
      <c r="E112" s="599">
        <f t="shared" si="13"/>
        <v>-8.9806254729377435E-4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5.8252557740083219E-4</v>
      </c>
      <c r="D113" s="599">
        <f t="shared" si="12"/>
        <v>1.1448787870582096E-3</v>
      </c>
      <c r="E113" s="599">
        <f t="shared" si="13"/>
        <v>5.6235320965737742E-4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0</v>
      </c>
      <c r="D114" s="599">
        <f t="shared" si="12"/>
        <v>1.9575853744443656E-4</v>
      </c>
      <c r="E114" s="599">
        <f t="shared" si="13"/>
        <v>1.9575853744443656E-4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1.2195478179587544E-3</v>
      </c>
      <c r="D115" s="599">
        <f t="shared" si="12"/>
        <v>8.8800934727924111E-4</v>
      </c>
      <c r="E115" s="599">
        <f t="shared" si="13"/>
        <v>-3.3153847067951331E-4</v>
      </c>
    </row>
    <row r="116" spans="1:5" s="421" customFormat="1" x14ac:dyDescent="0.2">
      <c r="A116" s="588"/>
      <c r="B116" s="592" t="s">
        <v>797</v>
      </c>
      <c r="C116" s="600">
        <f>SUM(C110+C111+C114)</f>
        <v>0.32926409366065473</v>
      </c>
      <c r="D116" s="600">
        <f>SUM(D110+D111+D114)</f>
        <v>0.33894236804380612</v>
      </c>
      <c r="E116" s="601">
        <f t="shared" si="13"/>
        <v>9.6782743831513862E-3</v>
      </c>
    </row>
    <row r="117" spans="1:5" s="421" customFormat="1" x14ac:dyDescent="0.2">
      <c r="A117" s="588"/>
      <c r="B117" s="592" t="s">
        <v>798</v>
      </c>
      <c r="C117" s="600">
        <f>SUM(C109+C116)</f>
        <v>0.51498942944889015</v>
      </c>
      <c r="D117" s="600">
        <f>SUM(D109+D116)</f>
        <v>0.51527339802168681</v>
      </c>
      <c r="E117" s="601">
        <f t="shared" si="13"/>
        <v>2.8396857279666676E-4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0.2779477000606605</v>
      </c>
      <c r="D121" s="599">
        <f t="shared" si="14"/>
        <v>0.29393989226470896</v>
      </c>
      <c r="E121" s="599">
        <f t="shared" ref="E121:E129" si="15">D121-C121</f>
        <v>1.5992192204048461E-2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0.12510910592272567</v>
      </c>
      <c r="D122" s="599">
        <f t="shared" si="14"/>
        <v>0.12015062079353421</v>
      </c>
      <c r="E122" s="599">
        <f t="shared" si="15"/>
        <v>-4.9584851291914617E-3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8.1339325950268673E-2</v>
      </c>
      <c r="D123" s="599">
        <f t="shared" si="14"/>
        <v>6.9725343962419459E-2</v>
      </c>
      <c r="E123" s="599">
        <f t="shared" si="15"/>
        <v>-1.1613981987849215E-2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8.0747326189101742E-2</v>
      </c>
      <c r="D124" s="599">
        <f t="shared" si="14"/>
        <v>6.818011796488381E-2</v>
      </c>
      <c r="E124" s="599">
        <f t="shared" si="15"/>
        <v>-1.2567208224217932E-2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5.9199976116692599E-4</v>
      </c>
      <c r="D125" s="599">
        <f t="shared" si="14"/>
        <v>1.5452259975356445E-3</v>
      </c>
      <c r="E125" s="599">
        <f t="shared" si="15"/>
        <v>9.5322623636871849E-4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6.1443861745504318E-4</v>
      </c>
      <c r="D126" s="599">
        <f t="shared" si="14"/>
        <v>9.1074495765051066E-4</v>
      </c>
      <c r="E126" s="599">
        <f t="shared" si="15"/>
        <v>2.9630634019546748E-4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6.2728586800509271E-3</v>
      </c>
      <c r="D127" s="599">
        <f t="shared" si="14"/>
        <v>7.0670677595330378E-3</v>
      </c>
      <c r="E127" s="599">
        <f t="shared" si="15"/>
        <v>7.9420907948211071E-4</v>
      </c>
    </row>
    <row r="128" spans="1:5" s="421" customFormat="1" x14ac:dyDescent="0.2">
      <c r="A128" s="588"/>
      <c r="B128" s="592" t="s">
        <v>800</v>
      </c>
      <c r="C128" s="600">
        <f>SUM(C122+C123+C126)</f>
        <v>0.20706287049044939</v>
      </c>
      <c r="D128" s="600">
        <f>SUM(D122+D123+D126)</f>
        <v>0.19078670971360417</v>
      </c>
      <c r="E128" s="601">
        <f t="shared" si="15"/>
        <v>-1.6276160776845211E-2</v>
      </c>
    </row>
    <row r="129" spans="1:5" s="421" customFormat="1" x14ac:dyDescent="0.2">
      <c r="A129" s="588"/>
      <c r="B129" s="592" t="s">
        <v>801</v>
      </c>
      <c r="C129" s="600">
        <f>SUM(C121+C128)</f>
        <v>0.48501057055110985</v>
      </c>
      <c r="D129" s="600">
        <f>SUM(D121+D128)</f>
        <v>0.48472660197831313</v>
      </c>
      <c r="E129" s="601">
        <f t="shared" si="15"/>
        <v>-2.8396857279672227E-4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932</v>
      </c>
      <c r="D137" s="606">
        <v>828</v>
      </c>
      <c r="E137" s="607">
        <f t="shared" ref="E137:E145" si="16">D137-C137</f>
        <v>-104</v>
      </c>
    </row>
    <row r="138" spans="1:5" s="421" customFormat="1" x14ac:dyDescent="0.2">
      <c r="A138" s="588">
        <v>2</v>
      </c>
      <c r="B138" s="587" t="s">
        <v>636</v>
      </c>
      <c r="C138" s="606">
        <v>1941</v>
      </c>
      <c r="D138" s="606">
        <v>1789</v>
      </c>
      <c r="E138" s="607">
        <f t="shared" si="16"/>
        <v>-152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328</v>
      </c>
      <c r="D139" s="606">
        <f>D140+D141</f>
        <v>262</v>
      </c>
      <c r="E139" s="607">
        <f t="shared" si="16"/>
        <v>-66</v>
      </c>
    </row>
    <row r="140" spans="1:5" s="421" customFormat="1" x14ac:dyDescent="0.2">
      <c r="A140" s="588">
        <v>4</v>
      </c>
      <c r="B140" s="587" t="s">
        <v>115</v>
      </c>
      <c r="C140" s="606">
        <v>323</v>
      </c>
      <c r="D140" s="606">
        <v>255</v>
      </c>
      <c r="E140" s="607">
        <f t="shared" si="16"/>
        <v>-68</v>
      </c>
    </row>
    <row r="141" spans="1:5" s="421" customFormat="1" x14ac:dyDescent="0.2">
      <c r="A141" s="588">
        <v>5</v>
      </c>
      <c r="B141" s="587" t="s">
        <v>744</v>
      </c>
      <c r="C141" s="606">
        <v>5</v>
      </c>
      <c r="D141" s="606">
        <v>7</v>
      </c>
      <c r="E141" s="607">
        <f t="shared" si="16"/>
        <v>2</v>
      </c>
    </row>
    <row r="142" spans="1:5" s="421" customFormat="1" x14ac:dyDescent="0.2">
      <c r="A142" s="588">
        <v>6</v>
      </c>
      <c r="B142" s="587" t="s">
        <v>424</v>
      </c>
      <c r="C142" s="606">
        <v>0</v>
      </c>
      <c r="D142" s="606">
        <v>1</v>
      </c>
      <c r="E142" s="607">
        <f t="shared" si="16"/>
        <v>1</v>
      </c>
    </row>
    <row r="143" spans="1:5" s="421" customFormat="1" x14ac:dyDescent="0.2">
      <c r="A143" s="588">
        <v>7</v>
      </c>
      <c r="B143" s="587" t="s">
        <v>759</v>
      </c>
      <c r="C143" s="606">
        <v>33</v>
      </c>
      <c r="D143" s="606">
        <v>24</v>
      </c>
      <c r="E143" s="607">
        <f t="shared" si="16"/>
        <v>-9</v>
      </c>
    </row>
    <row r="144" spans="1:5" s="421" customFormat="1" x14ac:dyDescent="0.2">
      <c r="A144" s="588"/>
      <c r="B144" s="592" t="s">
        <v>808</v>
      </c>
      <c r="C144" s="608">
        <f>SUM(C138+C139+C142)</f>
        <v>2269</v>
      </c>
      <c r="D144" s="608">
        <f>SUM(D138+D139+D142)</f>
        <v>2052</v>
      </c>
      <c r="E144" s="609">
        <f t="shared" si="16"/>
        <v>-217</v>
      </c>
    </row>
    <row r="145" spans="1:5" s="421" customFormat="1" x14ac:dyDescent="0.2">
      <c r="A145" s="588"/>
      <c r="B145" s="592" t="s">
        <v>138</v>
      </c>
      <c r="C145" s="608">
        <f>SUM(C137+C144)</f>
        <v>3201</v>
      </c>
      <c r="D145" s="608">
        <f>SUM(D137+D144)</f>
        <v>2880</v>
      </c>
      <c r="E145" s="609">
        <f t="shared" si="16"/>
        <v>-321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2745</v>
      </c>
      <c r="D149" s="610">
        <v>2500</v>
      </c>
      <c r="E149" s="607">
        <f t="shared" ref="E149:E157" si="17">D149-C149</f>
        <v>-245</v>
      </c>
    </row>
    <row r="150" spans="1:5" s="421" customFormat="1" x14ac:dyDescent="0.2">
      <c r="A150" s="588">
        <v>2</v>
      </c>
      <c r="B150" s="587" t="s">
        <v>636</v>
      </c>
      <c r="C150" s="610">
        <v>8091</v>
      </c>
      <c r="D150" s="610">
        <v>7568</v>
      </c>
      <c r="E150" s="607">
        <f t="shared" si="17"/>
        <v>-523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1274</v>
      </c>
      <c r="D151" s="610">
        <f>D152+D153</f>
        <v>1001</v>
      </c>
      <c r="E151" s="607">
        <f t="shared" si="17"/>
        <v>-273</v>
      </c>
    </row>
    <row r="152" spans="1:5" s="421" customFormat="1" x14ac:dyDescent="0.2">
      <c r="A152" s="588">
        <v>4</v>
      </c>
      <c r="B152" s="587" t="s">
        <v>115</v>
      </c>
      <c r="C152" s="610">
        <v>1252</v>
      </c>
      <c r="D152" s="610">
        <v>979</v>
      </c>
      <c r="E152" s="607">
        <f t="shared" si="17"/>
        <v>-273</v>
      </c>
    </row>
    <row r="153" spans="1:5" s="421" customFormat="1" x14ac:dyDescent="0.2">
      <c r="A153" s="588">
        <v>5</v>
      </c>
      <c r="B153" s="587" t="s">
        <v>744</v>
      </c>
      <c r="C153" s="611">
        <v>22</v>
      </c>
      <c r="D153" s="610">
        <v>22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0</v>
      </c>
      <c r="D154" s="610">
        <v>2</v>
      </c>
      <c r="E154" s="607">
        <f t="shared" si="17"/>
        <v>2</v>
      </c>
    </row>
    <row r="155" spans="1:5" s="421" customFormat="1" x14ac:dyDescent="0.2">
      <c r="A155" s="588">
        <v>7</v>
      </c>
      <c r="B155" s="587" t="s">
        <v>759</v>
      </c>
      <c r="C155" s="610">
        <v>101</v>
      </c>
      <c r="D155" s="610">
        <v>79</v>
      </c>
      <c r="E155" s="607">
        <f t="shared" si="17"/>
        <v>-22</v>
      </c>
    </row>
    <row r="156" spans="1:5" s="421" customFormat="1" x14ac:dyDescent="0.2">
      <c r="A156" s="588"/>
      <c r="B156" s="592" t="s">
        <v>809</v>
      </c>
      <c r="C156" s="608">
        <f>SUM(C150+C151+C154)</f>
        <v>9365</v>
      </c>
      <c r="D156" s="608">
        <f>SUM(D150+D151+D154)</f>
        <v>8571</v>
      </c>
      <c r="E156" s="609">
        <f t="shared" si="17"/>
        <v>-794</v>
      </c>
    </row>
    <row r="157" spans="1:5" s="421" customFormat="1" x14ac:dyDescent="0.2">
      <c r="A157" s="588"/>
      <c r="B157" s="592" t="s">
        <v>140</v>
      </c>
      <c r="C157" s="608">
        <f>SUM(C149+C156)</f>
        <v>12110</v>
      </c>
      <c r="D157" s="608">
        <f>SUM(D149+D156)</f>
        <v>11071</v>
      </c>
      <c r="E157" s="609">
        <f t="shared" si="17"/>
        <v>-1039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2.9452789699570814</v>
      </c>
      <c r="D161" s="612">
        <f t="shared" si="18"/>
        <v>3.0193236714975846</v>
      </c>
      <c r="E161" s="613">
        <f t="shared" ref="E161:E169" si="19">D161-C161</f>
        <v>7.4044701540503244E-2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4.1684698608964448</v>
      </c>
      <c r="D162" s="612">
        <f t="shared" si="18"/>
        <v>4.2302962548910008</v>
      </c>
      <c r="E162" s="613">
        <f t="shared" si="19"/>
        <v>6.1826393994556028E-2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3.8841463414634148</v>
      </c>
      <c r="D163" s="612">
        <f t="shared" si="18"/>
        <v>3.8206106870229006</v>
      </c>
      <c r="E163" s="613">
        <f t="shared" si="19"/>
        <v>-6.3535654440514122E-2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3.8761609907120742</v>
      </c>
      <c r="D164" s="612">
        <f t="shared" si="18"/>
        <v>3.8392156862745099</v>
      </c>
      <c r="E164" s="613">
        <f t="shared" si="19"/>
        <v>-3.6945304437564275E-2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4.4000000000000004</v>
      </c>
      <c r="D165" s="612">
        <f t="shared" si="18"/>
        <v>3.1428571428571428</v>
      </c>
      <c r="E165" s="613">
        <f t="shared" si="19"/>
        <v>-1.2571428571428576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0</v>
      </c>
      <c r="D166" s="612">
        <f t="shared" si="18"/>
        <v>2</v>
      </c>
      <c r="E166" s="613">
        <f t="shared" si="19"/>
        <v>2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3.0606060606060606</v>
      </c>
      <c r="D167" s="612">
        <f t="shared" si="18"/>
        <v>3.2916666666666665</v>
      </c>
      <c r="E167" s="613">
        <f t="shared" si="19"/>
        <v>0.23106060606060597</v>
      </c>
    </row>
    <row r="168" spans="1:5" s="421" customFormat="1" x14ac:dyDescent="0.2">
      <c r="A168" s="588"/>
      <c r="B168" s="592" t="s">
        <v>811</v>
      </c>
      <c r="C168" s="614">
        <f t="shared" si="18"/>
        <v>4.1273688849713528</v>
      </c>
      <c r="D168" s="614">
        <f t="shared" si="18"/>
        <v>4.1769005847953213</v>
      </c>
      <c r="E168" s="615">
        <f t="shared" si="19"/>
        <v>4.9531699823968545E-2</v>
      </c>
    </row>
    <row r="169" spans="1:5" s="421" customFormat="1" x14ac:dyDescent="0.2">
      <c r="A169" s="588"/>
      <c r="B169" s="592" t="s">
        <v>745</v>
      </c>
      <c r="C169" s="614">
        <f t="shared" si="18"/>
        <v>3.7831927522649171</v>
      </c>
      <c r="D169" s="614">
        <f t="shared" si="18"/>
        <v>3.8440972222222221</v>
      </c>
      <c r="E169" s="615">
        <f t="shared" si="19"/>
        <v>6.0904469957304919E-2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1.4137</v>
      </c>
      <c r="D173" s="617">
        <f t="shared" si="20"/>
        <v>1.5694900000000001</v>
      </c>
      <c r="E173" s="618">
        <f t="shared" ref="E173:E181" si="21">D173-C173</f>
        <v>0.1557900000000001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1.4253</v>
      </c>
      <c r="D174" s="617">
        <f t="shared" si="20"/>
        <v>1.5036999999999998</v>
      </c>
      <c r="E174" s="618">
        <f t="shared" si="21"/>
        <v>7.8399999999999803E-2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0.99157481707317086</v>
      </c>
      <c r="D175" s="617">
        <f t="shared" si="20"/>
        <v>1.2095605343511451</v>
      </c>
      <c r="E175" s="618">
        <f t="shared" si="21"/>
        <v>0.21798571727797422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0.99048000000000003</v>
      </c>
      <c r="D176" s="617">
        <f t="shared" si="20"/>
        <v>1.21733</v>
      </c>
      <c r="E176" s="618">
        <f t="shared" si="21"/>
        <v>0.22685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1.0623</v>
      </c>
      <c r="D177" s="617">
        <f t="shared" si="20"/>
        <v>0.92652999999999996</v>
      </c>
      <c r="E177" s="618">
        <f t="shared" si="21"/>
        <v>-0.13577000000000006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</v>
      </c>
      <c r="D178" s="617">
        <f t="shared" si="20"/>
        <v>1.6584000000000001</v>
      </c>
      <c r="E178" s="618">
        <f t="shared" si="21"/>
        <v>1.6584000000000001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1.101</v>
      </c>
      <c r="D179" s="617">
        <f t="shared" si="20"/>
        <v>1.018</v>
      </c>
      <c r="E179" s="618">
        <f t="shared" si="21"/>
        <v>-8.2999999999999963E-2</v>
      </c>
    </row>
    <row r="180" spans="1:5" s="421" customFormat="1" x14ac:dyDescent="0.2">
      <c r="A180" s="588"/>
      <c r="B180" s="592" t="s">
        <v>813</v>
      </c>
      <c r="C180" s="619">
        <f t="shared" si="20"/>
        <v>1.3626019568091672</v>
      </c>
      <c r="D180" s="619">
        <f t="shared" si="20"/>
        <v>1.4662195711500974</v>
      </c>
      <c r="E180" s="620">
        <f t="shared" si="21"/>
        <v>0.1036176143409302</v>
      </c>
    </row>
    <row r="181" spans="1:5" s="421" customFormat="1" x14ac:dyDescent="0.2">
      <c r="A181" s="588"/>
      <c r="B181" s="592" t="s">
        <v>724</v>
      </c>
      <c r="C181" s="619">
        <f t="shared" si="20"/>
        <v>1.377479612621056</v>
      </c>
      <c r="D181" s="619">
        <f t="shared" si="20"/>
        <v>1.4959098194444442</v>
      </c>
      <c r="E181" s="620">
        <f t="shared" si="21"/>
        <v>0.11843020682338823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x14ac:dyDescent="0.2">
      <c r="A185" s="588">
        <v>1</v>
      </c>
      <c r="B185" s="587" t="s">
        <v>815</v>
      </c>
      <c r="C185" s="589">
        <v>64692160</v>
      </c>
      <c r="D185" s="589">
        <v>73019420</v>
      </c>
      <c r="E185" s="590">
        <f>D185-C185</f>
        <v>8327260</v>
      </c>
    </row>
    <row r="186" spans="1:5" s="421" customFormat="1" ht="25.5" x14ac:dyDescent="0.2">
      <c r="A186" s="588">
        <v>2</v>
      </c>
      <c r="B186" s="587" t="s">
        <v>816</v>
      </c>
      <c r="C186" s="589">
        <v>32162323</v>
      </c>
      <c r="D186" s="589">
        <v>33840979</v>
      </c>
      <c r="E186" s="590">
        <f>D186-C186</f>
        <v>1678656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32529837</v>
      </c>
      <c r="D188" s="622">
        <f>+D185-D186</f>
        <v>39178441</v>
      </c>
      <c r="E188" s="590">
        <f t="shared" ref="E188:E197" si="22">D188-C188</f>
        <v>6648604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0.50284048329813069</v>
      </c>
      <c r="D189" s="623">
        <f>IF(D185=0,0,+D188/D185)</f>
        <v>0.53654823607199287</v>
      </c>
      <c r="E189" s="599">
        <f t="shared" si="22"/>
        <v>3.3707752773862176E-2</v>
      </c>
    </row>
    <row r="190" spans="1:5" s="421" customFormat="1" x14ac:dyDescent="0.2">
      <c r="A190" s="588">
        <v>5</v>
      </c>
      <c r="B190" s="587" t="s">
        <v>763</v>
      </c>
      <c r="C190" s="589">
        <v>1864058</v>
      </c>
      <c r="D190" s="589">
        <v>1957151</v>
      </c>
      <c r="E190" s="622">
        <f t="shared" si="22"/>
        <v>93093</v>
      </c>
    </row>
    <row r="191" spans="1:5" s="421" customFormat="1" x14ac:dyDescent="0.2">
      <c r="A191" s="588">
        <v>6</v>
      </c>
      <c r="B191" s="587" t="s">
        <v>749</v>
      </c>
      <c r="C191" s="589">
        <v>1864058</v>
      </c>
      <c r="D191" s="589">
        <v>1957151</v>
      </c>
      <c r="E191" s="622">
        <f t="shared" si="22"/>
        <v>93093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245354</v>
      </c>
      <c r="D193" s="589">
        <v>300473</v>
      </c>
      <c r="E193" s="622">
        <f t="shared" si="22"/>
        <v>55119</v>
      </c>
    </row>
    <row r="194" spans="1:5" s="421" customFormat="1" x14ac:dyDescent="0.2">
      <c r="A194" s="588">
        <v>9</v>
      </c>
      <c r="B194" s="587" t="s">
        <v>819</v>
      </c>
      <c r="C194" s="589">
        <v>3556700</v>
      </c>
      <c r="D194" s="589">
        <v>3982595</v>
      </c>
      <c r="E194" s="622">
        <f t="shared" si="22"/>
        <v>425895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3802054</v>
      </c>
      <c r="D195" s="589">
        <f>+D193+D194</f>
        <v>4283068</v>
      </c>
      <c r="E195" s="625">
        <f t="shared" si="22"/>
        <v>481014</v>
      </c>
    </row>
    <row r="196" spans="1:5" s="421" customFormat="1" x14ac:dyDescent="0.2">
      <c r="A196" s="588">
        <v>11</v>
      </c>
      <c r="B196" s="587" t="s">
        <v>821</v>
      </c>
      <c r="C196" s="589">
        <v>669361</v>
      </c>
      <c r="D196" s="589">
        <v>5924574</v>
      </c>
      <c r="E196" s="622">
        <f t="shared" si="22"/>
        <v>5255213</v>
      </c>
    </row>
    <row r="197" spans="1:5" s="421" customFormat="1" x14ac:dyDescent="0.2">
      <c r="A197" s="588">
        <v>12</v>
      </c>
      <c r="B197" s="587" t="s">
        <v>711</v>
      </c>
      <c r="C197" s="589">
        <v>68666088</v>
      </c>
      <c r="D197" s="589">
        <v>67298998</v>
      </c>
      <c r="E197" s="622">
        <f t="shared" si="22"/>
        <v>-1367090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1317.5683999999999</v>
      </c>
      <c r="D203" s="629">
        <v>1299.53772</v>
      </c>
      <c r="E203" s="630">
        <f t="shared" ref="E203:E211" si="23">D203-C203</f>
        <v>-18.030679999999847</v>
      </c>
    </row>
    <row r="204" spans="1:5" s="421" customFormat="1" x14ac:dyDescent="0.2">
      <c r="A204" s="588">
        <v>2</v>
      </c>
      <c r="B204" s="587" t="s">
        <v>636</v>
      </c>
      <c r="C204" s="629">
        <v>2766.5073000000002</v>
      </c>
      <c r="D204" s="629">
        <v>2690.1192999999998</v>
      </c>
      <c r="E204" s="630">
        <f t="shared" si="23"/>
        <v>-76.388000000000375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325.23654000000005</v>
      </c>
      <c r="D205" s="629">
        <f>D206+D207</f>
        <v>316.90485999999999</v>
      </c>
      <c r="E205" s="630">
        <f t="shared" si="23"/>
        <v>-8.3316800000000626</v>
      </c>
    </row>
    <row r="206" spans="1:5" s="421" customFormat="1" x14ac:dyDescent="0.2">
      <c r="A206" s="588">
        <v>4</v>
      </c>
      <c r="B206" s="587" t="s">
        <v>115</v>
      </c>
      <c r="C206" s="629">
        <v>319.92504000000002</v>
      </c>
      <c r="D206" s="629">
        <v>310.41915</v>
      </c>
      <c r="E206" s="630">
        <f t="shared" si="23"/>
        <v>-9.5058900000000222</v>
      </c>
    </row>
    <row r="207" spans="1:5" s="421" customFormat="1" x14ac:dyDescent="0.2">
      <c r="A207" s="588">
        <v>5</v>
      </c>
      <c r="B207" s="587" t="s">
        <v>744</v>
      </c>
      <c r="C207" s="629">
        <v>5.3115000000000006</v>
      </c>
      <c r="D207" s="629">
        <v>6.4857100000000001</v>
      </c>
      <c r="E207" s="630">
        <f t="shared" si="23"/>
        <v>1.1742099999999995</v>
      </c>
    </row>
    <row r="208" spans="1:5" s="421" customFormat="1" x14ac:dyDescent="0.2">
      <c r="A208" s="588">
        <v>6</v>
      </c>
      <c r="B208" s="587" t="s">
        <v>424</v>
      </c>
      <c r="C208" s="629">
        <v>0</v>
      </c>
      <c r="D208" s="629">
        <v>1.6584000000000001</v>
      </c>
      <c r="E208" s="630">
        <f t="shared" si="23"/>
        <v>1.6584000000000001</v>
      </c>
    </row>
    <row r="209" spans="1:5" s="421" customFormat="1" x14ac:dyDescent="0.2">
      <c r="A209" s="588">
        <v>7</v>
      </c>
      <c r="B209" s="587" t="s">
        <v>759</v>
      </c>
      <c r="C209" s="629">
        <v>36.332999999999998</v>
      </c>
      <c r="D209" s="629">
        <v>24.432000000000002</v>
      </c>
      <c r="E209" s="630">
        <f t="shared" si="23"/>
        <v>-11.900999999999996</v>
      </c>
    </row>
    <row r="210" spans="1:5" s="421" customFormat="1" x14ac:dyDescent="0.2">
      <c r="A210" s="588"/>
      <c r="B210" s="592" t="s">
        <v>824</v>
      </c>
      <c r="C210" s="631">
        <f>C204+C205+C208</f>
        <v>3091.7438400000001</v>
      </c>
      <c r="D210" s="631">
        <f>D204+D205+D208</f>
        <v>3008.6825599999997</v>
      </c>
      <c r="E210" s="632">
        <f t="shared" si="23"/>
        <v>-83.061280000000352</v>
      </c>
    </row>
    <row r="211" spans="1:5" s="421" customFormat="1" x14ac:dyDescent="0.2">
      <c r="A211" s="588"/>
      <c r="B211" s="592" t="s">
        <v>725</v>
      </c>
      <c r="C211" s="631">
        <f>C210+C203</f>
        <v>4409.3122400000002</v>
      </c>
      <c r="D211" s="631">
        <f>D210+D203</f>
        <v>4308.2202799999995</v>
      </c>
      <c r="E211" s="632">
        <f t="shared" si="23"/>
        <v>-101.09196000000065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1314.3237616139622</v>
      </c>
      <c r="D215" s="633">
        <f>IF(D14*D137=0,0,D25/D14*D137)</f>
        <v>1212.2723378327016</v>
      </c>
      <c r="E215" s="633">
        <f t="shared" ref="E215:E223" si="24">D215-C215</f>
        <v>-102.05142378126061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994.6566221276554</v>
      </c>
      <c r="D216" s="633">
        <f>IF(D15*D138=0,0,D26/D15*D138)</f>
        <v>914.00842771006467</v>
      </c>
      <c r="E216" s="633">
        <f t="shared" si="24"/>
        <v>-80.64819441759073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758.34270461024425</v>
      </c>
      <c r="D217" s="633">
        <f>D218+D219</f>
        <v>612.0232334442876</v>
      </c>
      <c r="E217" s="633">
        <f t="shared" si="24"/>
        <v>-146.31947116595666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751.93469567942213</v>
      </c>
      <c r="D218" s="633">
        <f t="shared" si="25"/>
        <v>601.2238321861206</v>
      </c>
      <c r="E218" s="633">
        <f t="shared" si="24"/>
        <v>-150.71086349330153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6.40800893082214</v>
      </c>
      <c r="D219" s="633">
        <f t="shared" si="25"/>
        <v>10.799401258166959</v>
      </c>
      <c r="E219" s="633">
        <f t="shared" si="24"/>
        <v>4.3913923273448194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0</v>
      </c>
      <c r="D220" s="633">
        <f t="shared" si="25"/>
        <v>9.6336752852507068</v>
      </c>
      <c r="E220" s="633">
        <f t="shared" si="24"/>
        <v>9.6336752852507068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169.73909522446604</v>
      </c>
      <c r="D221" s="633">
        <f t="shared" si="25"/>
        <v>181.42685910707385</v>
      </c>
      <c r="E221" s="633">
        <f t="shared" si="24"/>
        <v>11.687763882607811</v>
      </c>
    </row>
    <row r="222" spans="1:5" s="421" customFormat="1" x14ac:dyDescent="0.2">
      <c r="A222" s="588"/>
      <c r="B222" s="592" t="s">
        <v>826</v>
      </c>
      <c r="C222" s="634">
        <f>C216+C218+C219+C220</f>
        <v>1752.9993267378998</v>
      </c>
      <c r="D222" s="634">
        <f>D216+D218+D219+D220</f>
        <v>1535.6653364396029</v>
      </c>
      <c r="E222" s="634">
        <f t="shared" si="24"/>
        <v>-217.33399029829684</v>
      </c>
    </row>
    <row r="223" spans="1:5" s="421" customFormat="1" x14ac:dyDescent="0.2">
      <c r="A223" s="588"/>
      <c r="B223" s="592" t="s">
        <v>827</v>
      </c>
      <c r="C223" s="634">
        <f>C215+C222</f>
        <v>3067.3230883518618</v>
      </c>
      <c r="D223" s="634">
        <f>D215+D222</f>
        <v>2747.9376742723043</v>
      </c>
      <c r="E223" s="634">
        <f t="shared" si="24"/>
        <v>-319.38541407955745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8763.3765351385173</v>
      </c>
      <c r="D227" s="636">
        <f t="shared" si="26"/>
        <v>8528.3588382490343</v>
      </c>
      <c r="E227" s="636">
        <f t="shared" ref="E227:E235" si="27">D227-C227</f>
        <v>-235.01769688948298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6883.2737220682548</v>
      </c>
      <c r="D228" s="636">
        <f t="shared" si="26"/>
        <v>7386.0081223907064</v>
      </c>
      <c r="E228" s="636">
        <f t="shared" si="27"/>
        <v>502.73440032245162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4388.725817830923</v>
      </c>
      <c r="D229" s="636">
        <f t="shared" si="26"/>
        <v>4487.0817064780895</v>
      </c>
      <c r="E229" s="636">
        <f t="shared" si="27"/>
        <v>98.355888647166466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4348.3904854712209</v>
      </c>
      <c r="D230" s="636">
        <f t="shared" si="26"/>
        <v>4349.0197044866591</v>
      </c>
      <c r="E230" s="636">
        <f t="shared" si="27"/>
        <v>0.62921901543813874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6818.2246069848434</v>
      </c>
      <c r="D231" s="636">
        <f t="shared" si="26"/>
        <v>11095.007331502642</v>
      </c>
      <c r="E231" s="636">
        <f t="shared" si="27"/>
        <v>4276.7827245177987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0</v>
      </c>
      <c r="D232" s="636">
        <f t="shared" si="26"/>
        <v>7419.1992281717312</v>
      </c>
      <c r="E232" s="636">
        <f t="shared" si="27"/>
        <v>7419.1992281717312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2086.7530894778852</v>
      </c>
      <c r="D233" s="636">
        <f t="shared" si="26"/>
        <v>2284.4629993451208</v>
      </c>
      <c r="E233" s="636">
        <f t="shared" si="27"/>
        <v>197.70990986723564</v>
      </c>
    </row>
    <row r="234" spans="1:5" x14ac:dyDescent="0.2">
      <c r="A234" s="588"/>
      <c r="B234" s="592" t="s">
        <v>829</v>
      </c>
      <c r="C234" s="637">
        <f t="shared" si="26"/>
        <v>6620.8593141403326</v>
      </c>
      <c r="D234" s="637">
        <f t="shared" si="26"/>
        <v>7080.6821840320708</v>
      </c>
      <c r="E234" s="637">
        <f t="shared" si="27"/>
        <v>459.82286989173826</v>
      </c>
    </row>
    <row r="235" spans="1:5" s="421" customFormat="1" x14ac:dyDescent="0.2">
      <c r="A235" s="588"/>
      <c r="B235" s="592" t="s">
        <v>830</v>
      </c>
      <c r="C235" s="637">
        <f t="shared" si="26"/>
        <v>7261.0754823750012</v>
      </c>
      <c r="D235" s="637">
        <f t="shared" si="26"/>
        <v>7517.3614381667603</v>
      </c>
      <c r="E235" s="637">
        <f t="shared" si="27"/>
        <v>256.28595579175908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13147.228639297269</v>
      </c>
      <c r="D239" s="636">
        <f t="shared" si="28"/>
        <v>15239.964175895946</v>
      </c>
      <c r="E239" s="638">
        <f t="shared" ref="E239:E247" si="29">D239-C239</f>
        <v>2092.7355365986768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7819.6845292824837</v>
      </c>
      <c r="D240" s="636">
        <f t="shared" si="28"/>
        <v>8262.3089361661059</v>
      </c>
      <c r="E240" s="638">
        <f t="shared" si="29"/>
        <v>442.62440688362221</v>
      </c>
    </row>
    <row r="241" spans="1:5" x14ac:dyDescent="0.2">
      <c r="A241" s="588">
        <v>3</v>
      </c>
      <c r="B241" s="587" t="s">
        <v>778</v>
      </c>
      <c r="C241" s="636">
        <f t="shared" si="28"/>
        <v>6668.1989148942484</v>
      </c>
      <c r="D241" s="636">
        <f t="shared" si="28"/>
        <v>7160.582736927965</v>
      </c>
      <c r="E241" s="638">
        <f t="shared" si="29"/>
        <v>492.38382203371657</v>
      </c>
    </row>
    <row r="242" spans="1:5" x14ac:dyDescent="0.2">
      <c r="A242" s="588">
        <v>4</v>
      </c>
      <c r="B242" s="587" t="s">
        <v>115</v>
      </c>
      <c r="C242" s="636">
        <f t="shared" si="28"/>
        <v>6676.0797564529503</v>
      </c>
      <c r="D242" s="636">
        <f t="shared" si="28"/>
        <v>7127.6632272178376</v>
      </c>
      <c r="E242" s="638">
        <f t="shared" si="29"/>
        <v>451.58347076488735</v>
      </c>
    </row>
    <row r="243" spans="1:5" x14ac:dyDescent="0.2">
      <c r="A243" s="588">
        <v>5</v>
      </c>
      <c r="B243" s="587" t="s">
        <v>744</v>
      </c>
      <c r="C243" s="636">
        <f t="shared" si="28"/>
        <v>5743.4376882614752</v>
      </c>
      <c r="D243" s="636">
        <f t="shared" si="28"/>
        <v>8993.2763565528476</v>
      </c>
      <c r="E243" s="638">
        <f t="shared" si="29"/>
        <v>3249.8386682913724</v>
      </c>
    </row>
    <row r="244" spans="1:5" x14ac:dyDescent="0.2">
      <c r="A244" s="588">
        <v>6</v>
      </c>
      <c r="B244" s="587" t="s">
        <v>424</v>
      </c>
      <c r="C244" s="636">
        <f t="shared" si="28"/>
        <v>0</v>
      </c>
      <c r="D244" s="636">
        <f t="shared" si="28"/>
        <v>5941.9690102737677</v>
      </c>
      <c r="E244" s="638">
        <f t="shared" si="29"/>
        <v>5941.9690102737677</v>
      </c>
    </row>
    <row r="245" spans="1:5" x14ac:dyDescent="0.2">
      <c r="A245" s="588">
        <v>7</v>
      </c>
      <c r="B245" s="587" t="s">
        <v>759</v>
      </c>
      <c r="C245" s="636">
        <f t="shared" si="28"/>
        <v>2297.5084171639269</v>
      </c>
      <c r="D245" s="636">
        <f t="shared" si="28"/>
        <v>2448.2923983038913</v>
      </c>
      <c r="E245" s="638">
        <f t="shared" si="29"/>
        <v>150.78398113996445</v>
      </c>
    </row>
    <row r="246" spans="1:5" ht="25.5" x14ac:dyDescent="0.2">
      <c r="A246" s="588"/>
      <c r="B246" s="592" t="s">
        <v>832</v>
      </c>
      <c r="C246" s="637">
        <f t="shared" si="28"/>
        <v>7343.3456611502124</v>
      </c>
      <c r="D246" s="637">
        <f t="shared" si="28"/>
        <v>7808.6714048009771</v>
      </c>
      <c r="E246" s="639">
        <f t="shared" si="29"/>
        <v>465.32574365076471</v>
      </c>
    </row>
    <row r="247" spans="1:5" x14ac:dyDescent="0.2">
      <c r="A247" s="588"/>
      <c r="B247" s="592" t="s">
        <v>833</v>
      </c>
      <c r="C247" s="637">
        <f t="shared" si="28"/>
        <v>9830.2637614225478</v>
      </c>
      <c r="D247" s="637">
        <f t="shared" si="28"/>
        <v>11087.039304145786</v>
      </c>
      <c r="E247" s="639">
        <f t="shared" si="29"/>
        <v>1256.7755427232387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859916.10683510988</v>
      </c>
      <c r="D251" s="622">
        <f>((IF((IF(D15=0,0,D26/D15)*D138)=0,0,D59/(IF(D15=0,0,D26/D15)*D138)))-(IF((IF(D17=0,0,D28/D17)*D140)=0,0,D61/(IF(D17=0,0,D28/D17)*D140))))*(IF(D17=0,0,D28/D17)*D140)</f>
        <v>682176.04130741546</v>
      </c>
      <c r="E251" s="622">
        <f>D251-C251</f>
        <v>-177740.06552769442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13650.116674619418</v>
      </c>
      <c r="D252" s="622">
        <f>IF(D231=0,0,(D228-D231)*D207)+IF(D243=0,0,(D240-D243)*D219)</f>
        <v>-31949.503739933007</v>
      </c>
      <c r="E252" s="622">
        <f>D252-C252</f>
        <v>-45599.620414552424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1111601.1610850694</v>
      </c>
      <c r="D253" s="622">
        <f>IF(D233=0,0,(D228-D233)*D209+IF(D221=0,0,(D240-D245)*D221))</f>
        <v>1179459.7097071751</v>
      </c>
      <c r="E253" s="622">
        <f>D253-C253</f>
        <v>67858.548622105736</v>
      </c>
    </row>
    <row r="254" spans="1:5" ht="15" customHeight="1" x14ac:dyDescent="0.2">
      <c r="A254" s="588"/>
      <c r="B254" s="592" t="s">
        <v>760</v>
      </c>
      <c r="C254" s="640">
        <f>+C251+C252+C253</f>
        <v>1985167.3845947986</v>
      </c>
      <c r="D254" s="640">
        <f>+D251+D252+D253</f>
        <v>1829686.2472746577</v>
      </c>
      <c r="E254" s="640">
        <f>D254-C254</f>
        <v>-155481.13732014084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201245838</v>
      </c>
      <c r="D258" s="625">
        <f>+D44</f>
        <v>207773120</v>
      </c>
      <c r="E258" s="622">
        <f t="shared" ref="E258:E271" si="30">D258-C258</f>
        <v>6527282</v>
      </c>
    </row>
    <row r="259" spans="1:5" x14ac:dyDescent="0.2">
      <c r="A259" s="588">
        <v>2</v>
      </c>
      <c r="B259" s="587" t="s">
        <v>743</v>
      </c>
      <c r="C259" s="622">
        <f>+(C43-C76)</f>
        <v>96688796</v>
      </c>
      <c r="D259" s="625">
        <f>+(D43-D76)</f>
        <v>99501518</v>
      </c>
      <c r="E259" s="622">
        <f t="shared" si="30"/>
        <v>2812722</v>
      </c>
    </row>
    <row r="260" spans="1:5" x14ac:dyDescent="0.2">
      <c r="A260" s="588">
        <v>3</v>
      </c>
      <c r="B260" s="587" t="s">
        <v>747</v>
      </c>
      <c r="C260" s="622">
        <f>C195</f>
        <v>3802054</v>
      </c>
      <c r="D260" s="622">
        <f>D195</f>
        <v>4283068</v>
      </c>
      <c r="E260" s="622">
        <f t="shared" si="30"/>
        <v>481014</v>
      </c>
    </row>
    <row r="261" spans="1:5" x14ac:dyDescent="0.2">
      <c r="A261" s="588">
        <v>4</v>
      </c>
      <c r="B261" s="587" t="s">
        <v>748</v>
      </c>
      <c r="C261" s="622">
        <f>C188</f>
        <v>32529837</v>
      </c>
      <c r="D261" s="622">
        <f>D188</f>
        <v>39178441</v>
      </c>
      <c r="E261" s="622">
        <f t="shared" si="30"/>
        <v>6648604</v>
      </c>
    </row>
    <row r="262" spans="1:5" x14ac:dyDescent="0.2">
      <c r="A262" s="588">
        <v>5</v>
      </c>
      <c r="B262" s="587" t="s">
        <v>749</v>
      </c>
      <c r="C262" s="622">
        <f>C191</f>
        <v>1864058</v>
      </c>
      <c r="D262" s="622">
        <f>D191</f>
        <v>1957151</v>
      </c>
      <c r="E262" s="622">
        <f t="shared" si="30"/>
        <v>93093</v>
      </c>
    </row>
    <row r="263" spans="1:5" x14ac:dyDescent="0.2">
      <c r="A263" s="588">
        <v>6</v>
      </c>
      <c r="B263" s="587" t="s">
        <v>750</v>
      </c>
      <c r="C263" s="622">
        <f>+C259+C260+C261+C262</f>
        <v>134884745</v>
      </c>
      <c r="D263" s="622">
        <f>+D259+D260+D261+D262</f>
        <v>144920178</v>
      </c>
      <c r="E263" s="622">
        <f t="shared" si="30"/>
        <v>10035433</v>
      </c>
    </row>
    <row r="264" spans="1:5" x14ac:dyDescent="0.2">
      <c r="A264" s="588">
        <v>7</v>
      </c>
      <c r="B264" s="587" t="s">
        <v>655</v>
      </c>
      <c r="C264" s="622">
        <f>+C258-C263</f>
        <v>66361093</v>
      </c>
      <c r="D264" s="622">
        <f>+D258-D263</f>
        <v>62852942</v>
      </c>
      <c r="E264" s="622">
        <f t="shared" si="30"/>
        <v>-3508151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66361093</v>
      </c>
      <c r="D266" s="622">
        <f>+D264+D265</f>
        <v>62852942</v>
      </c>
      <c r="E266" s="641">
        <f t="shared" si="30"/>
        <v>-3508151</v>
      </c>
    </row>
    <row r="267" spans="1:5" x14ac:dyDescent="0.2">
      <c r="A267" s="588">
        <v>10</v>
      </c>
      <c r="B267" s="587" t="s">
        <v>838</v>
      </c>
      <c r="C267" s="642">
        <f>IF(C258=0,0,C266/C258)</f>
        <v>0.32975138099501966</v>
      </c>
      <c r="D267" s="642">
        <f>IF(D258=0,0,D266/D258)</f>
        <v>0.30250757172053827</v>
      </c>
      <c r="E267" s="643">
        <f t="shared" si="30"/>
        <v>-2.724380927448139E-2</v>
      </c>
    </row>
    <row r="268" spans="1:5" x14ac:dyDescent="0.2">
      <c r="A268" s="588">
        <v>11</v>
      </c>
      <c r="B268" s="587" t="s">
        <v>717</v>
      </c>
      <c r="C268" s="622">
        <f>+C260*C267</f>
        <v>1253732.5571176384</v>
      </c>
      <c r="D268" s="644">
        <f>+D260*D267</f>
        <v>1295660.5001939423</v>
      </c>
      <c r="E268" s="622">
        <f t="shared" si="30"/>
        <v>41927.943076303927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2358099.9335085433</v>
      </c>
      <c r="D269" s="644">
        <f>((D17+D18+D28+D29)*D267)-(D50+D51+D61+D62)</f>
        <v>2223512.5355092045</v>
      </c>
      <c r="E269" s="622">
        <f t="shared" si="30"/>
        <v>-134587.39799933881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x14ac:dyDescent="0.2">
      <c r="A271" s="588">
        <v>14</v>
      </c>
      <c r="B271" s="587" t="s">
        <v>841</v>
      </c>
      <c r="C271" s="622">
        <f>+C268+C269+C270</f>
        <v>3611832.4906261815</v>
      </c>
      <c r="D271" s="622">
        <f>+D268+D269+D270</f>
        <v>3519173.0357031468</v>
      </c>
      <c r="E271" s="625">
        <f t="shared" si="30"/>
        <v>-92659.454923034646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0.39078215130428495</v>
      </c>
      <c r="D276" s="623">
        <f t="shared" si="31"/>
        <v>0.36423911773535905</v>
      </c>
      <c r="E276" s="650">
        <f t="shared" ref="E276:E284" si="32">D276-C276</f>
        <v>-2.65430335689259E-2</v>
      </c>
    </row>
    <row r="277" spans="1:5" x14ac:dyDescent="0.2">
      <c r="A277" s="588">
        <v>2</v>
      </c>
      <c r="B277" s="587" t="s">
        <v>636</v>
      </c>
      <c r="C277" s="623">
        <f t="shared" si="31"/>
        <v>0.27941123906954335</v>
      </c>
      <c r="D277" s="623">
        <f t="shared" si="31"/>
        <v>0.28306456086722548</v>
      </c>
      <c r="E277" s="650">
        <f t="shared" si="32"/>
        <v>3.6533217976821297E-3</v>
      </c>
    </row>
    <row r="278" spans="1:5" x14ac:dyDescent="0.2">
      <c r="A278" s="588">
        <v>3</v>
      </c>
      <c r="B278" s="587" t="s">
        <v>778</v>
      </c>
      <c r="C278" s="623">
        <f t="shared" si="31"/>
        <v>0.17619530211366619</v>
      </c>
      <c r="D278" s="623">
        <f t="shared" si="31"/>
        <v>0.17910139084079957</v>
      </c>
      <c r="E278" s="650">
        <f t="shared" si="32"/>
        <v>2.9060887271333824E-3</v>
      </c>
    </row>
    <row r="279" spans="1:5" x14ac:dyDescent="0.2">
      <c r="A279" s="588">
        <v>4</v>
      </c>
      <c r="B279" s="587" t="s">
        <v>115</v>
      </c>
      <c r="C279" s="623">
        <f t="shared" si="31"/>
        <v>0.17471944156453362</v>
      </c>
      <c r="D279" s="623">
        <f t="shared" si="31"/>
        <v>0.17327478182765871</v>
      </c>
      <c r="E279" s="650">
        <f t="shared" si="32"/>
        <v>-1.4446597368749092E-3</v>
      </c>
    </row>
    <row r="280" spans="1:5" x14ac:dyDescent="0.2">
      <c r="A280" s="588">
        <v>5</v>
      </c>
      <c r="B280" s="587" t="s">
        <v>744</v>
      </c>
      <c r="C280" s="623">
        <f t="shared" si="31"/>
        <v>0.26083042241348264</v>
      </c>
      <c r="D280" s="623">
        <f t="shared" si="31"/>
        <v>0.4851899049969321</v>
      </c>
      <c r="E280" s="650">
        <f t="shared" si="32"/>
        <v>0.22435948258344945</v>
      </c>
    </row>
    <row r="281" spans="1:5" x14ac:dyDescent="0.2">
      <c r="A281" s="588">
        <v>6</v>
      </c>
      <c r="B281" s="587" t="s">
        <v>424</v>
      </c>
      <c r="C281" s="623">
        <f t="shared" si="31"/>
        <v>0</v>
      </c>
      <c r="D281" s="623">
        <f t="shared" si="31"/>
        <v>0.64398618235109395</v>
      </c>
      <c r="E281" s="650">
        <f t="shared" si="32"/>
        <v>0.64398618235109395</v>
      </c>
    </row>
    <row r="282" spans="1:5" x14ac:dyDescent="0.2">
      <c r="A282" s="588">
        <v>7</v>
      </c>
      <c r="B282" s="587" t="s">
        <v>759</v>
      </c>
      <c r="C282" s="623">
        <f t="shared" si="31"/>
        <v>0.10000039568596779</v>
      </c>
      <c r="D282" s="623">
        <f t="shared" si="31"/>
        <v>9.2148840833820383E-2</v>
      </c>
      <c r="E282" s="650">
        <f t="shared" si="32"/>
        <v>-7.8515548521474049E-3</v>
      </c>
    </row>
    <row r="283" spans="1:5" ht="29.25" customHeight="1" x14ac:dyDescent="0.2">
      <c r="A283" s="588"/>
      <c r="B283" s="592" t="s">
        <v>845</v>
      </c>
      <c r="C283" s="651">
        <f t="shared" si="31"/>
        <v>0.26844572868245298</v>
      </c>
      <c r="D283" s="651">
        <f t="shared" si="31"/>
        <v>0.27259110093048738</v>
      </c>
      <c r="E283" s="652">
        <f t="shared" si="32"/>
        <v>4.1453722480344068E-3</v>
      </c>
    </row>
    <row r="284" spans="1:5" x14ac:dyDescent="0.2">
      <c r="A284" s="588"/>
      <c r="B284" s="592" t="s">
        <v>846</v>
      </c>
      <c r="C284" s="651">
        <f t="shared" si="31"/>
        <v>0.30261044409394422</v>
      </c>
      <c r="D284" s="651">
        <f t="shared" si="31"/>
        <v>0.29827392636759015</v>
      </c>
      <c r="E284" s="652">
        <f t="shared" si="32"/>
        <v>-4.3365177263540722E-3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0.41470589103514194</v>
      </c>
      <c r="D287" s="623">
        <f t="shared" si="33"/>
        <v>0.41471191497463711</v>
      </c>
      <c r="E287" s="650">
        <f t="shared" ref="E287:E295" si="34">D287-C287</f>
        <v>6.0239394951699943E-6</v>
      </c>
    </row>
    <row r="288" spans="1:5" x14ac:dyDescent="0.2">
      <c r="A288" s="588">
        <v>2</v>
      </c>
      <c r="B288" s="587" t="s">
        <v>636</v>
      </c>
      <c r="C288" s="623">
        <f t="shared" si="33"/>
        <v>0.22270592865445452</v>
      </c>
      <c r="D288" s="623">
        <f t="shared" si="33"/>
        <v>0.21057943153742514</v>
      </c>
      <c r="E288" s="650">
        <f t="shared" si="34"/>
        <v>-1.2126497117029372E-2</v>
      </c>
    </row>
    <row r="289" spans="1:5" x14ac:dyDescent="0.2">
      <c r="A289" s="588">
        <v>3</v>
      </c>
      <c r="B289" s="587" t="s">
        <v>778</v>
      </c>
      <c r="C289" s="623">
        <f t="shared" si="33"/>
        <v>0.27021632834897802</v>
      </c>
      <c r="D289" s="623">
        <f t="shared" si="33"/>
        <v>0.23563491463936903</v>
      </c>
      <c r="E289" s="650">
        <f t="shared" si="34"/>
        <v>-3.4581413709608988E-2</v>
      </c>
    </row>
    <row r="290" spans="1:5" x14ac:dyDescent="0.2">
      <c r="A290" s="588">
        <v>4</v>
      </c>
      <c r="B290" s="587" t="s">
        <v>115</v>
      </c>
      <c r="C290" s="623">
        <f t="shared" si="33"/>
        <v>0.2708248441657225</v>
      </c>
      <c r="D290" s="623">
        <f t="shared" si="33"/>
        <v>0.23328286054676645</v>
      </c>
      <c r="E290" s="650">
        <f t="shared" si="34"/>
        <v>-3.7541983618956054E-2</v>
      </c>
    </row>
    <row r="291" spans="1:5" x14ac:dyDescent="0.2">
      <c r="A291" s="588">
        <v>5</v>
      </c>
      <c r="B291" s="587" t="s">
        <v>744</v>
      </c>
      <c r="C291" s="623">
        <f t="shared" si="33"/>
        <v>0.20682911477768287</v>
      </c>
      <c r="D291" s="623">
        <f t="shared" si="33"/>
        <v>0.42446571391110527</v>
      </c>
      <c r="E291" s="650">
        <f t="shared" si="34"/>
        <v>0.2176365991334224</v>
      </c>
    </row>
    <row r="292" spans="1:5" x14ac:dyDescent="0.2">
      <c r="A292" s="588">
        <v>6</v>
      </c>
      <c r="B292" s="587" t="s">
        <v>424</v>
      </c>
      <c r="C292" s="623">
        <f t="shared" si="33"/>
        <v>0.27374357724859005</v>
      </c>
      <c r="D292" s="623">
        <f t="shared" si="33"/>
        <v>0.31100015755646226</v>
      </c>
      <c r="E292" s="650">
        <f t="shared" si="34"/>
        <v>3.7256580307872211E-2</v>
      </c>
    </row>
    <row r="293" spans="1:5" x14ac:dyDescent="0.2">
      <c r="A293" s="588">
        <v>7</v>
      </c>
      <c r="B293" s="587" t="s">
        <v>759</v>
      </c>
      <c r="C293" s="623">
        <f t="shared" si="33"/>
        <v>0.10000010257025678</v>
      </c>
      <c r="D293" s="623">
        <f t="shared" si="33"/>
        <v>9.7011060963610965E-2</v>
      </c>
      <c r="E293" s="650">
        <f t="shared" si="34"/>
        <v>-2.9890416066458148E-3</v>
      </c>
    </row>
    <row r="294" spans="1:5" ht="29.25" customHeight="1" x14ac:dyDescent="0.2">
      <c r="A294" s="588"/>
      <c r="B294" s="592" t="s">
        <v>848</v>
      </c>
      <c r="C294" s="651">
        <f t="shared" si="33"/>
        <v>0.23937119596286199</v>
      </c>
      <c r="D294" s="651">
        <f t="shared" si="33"/>
        <v>0.21944538603382296</v>
      </c>
      <c r="E294" s="652">
        <f t="shared" si="34"/>
        <v>-1.9925809929039029E-2</v>
      </c>
    </row>
    <row r="295" spans="1:5" x14ac:dyDescent="0.2">
      <c r="A295" s="588"/>
      <c r="B295" s="592" t="s">
        <v>849</v>
      </c>
      <c r="C295" s="651">
        <f t="shared" si="33"/>
        <v>0.31591494042828472</v>
      </c>
      <c r="D295" s="651">
        <f t="shared" si="33"/>
        <v>0.30714181682483871</v>
      </c>
      <c r="E295" s="652">
        <f t="shared" si="34"/>
        <v>-8.7731236034460092E-3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62168944</v>
      </c>
      <c r="D301" s="590">
        <f>+D48+D47+D50+D51+D52+D59+D58+D61+D62+D63</f>
        <v>62852942</v>
      </c>
      <c r="E301" s="590">
        <f>D301-C301</f>
        <v>683998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62168944</v>
      </c>
      <c r="D303" s="593">
        <f>+D301+D302</f>
        <v>62852942</v>
      </c>
      <c r="E303" s="593">
        <f>D303-C303</f>
        <v>683998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-1796306</v>
      </c>
      <c r="D305" s="654">
        <v>-829025</v>
      </c>
      <c r="E305" s="655">
        <f>D305-C305</f>
        <v>967281</v>
      </c>
    </row>
    <row r="306" spans="1:5" x14ac:dyDescent="0.2">
      <c r="A306" s="588">
        <v>4</v>
      </c>
      <c r="B306" s="592" t="s">
        <v>856</v>
      </c>
      <c r="C306" s="593">
        <f>+C303+C305+C194+C190-C191</f>
        <v>63929338</v>
      </c>
      <c r="D306" s="593">
        <f>+D303+D305</f>
        <v>62023917</v>
      </c>
      <c r="E306" s="656">
        <f>D306-C306</f>
        <v>-1905421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60372640</v>
      </c>
      <c r="D308" s="589">
        <v>62023918</v>
      </c>
      <c r="E308" s="590">
        <f>D308-C308</f>
        <v>1651278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3556698</v>
      </c>
      <c r="D310" s="658">
        <f>D306-D308</f>
        <v>-1</v>
      </c>
      <c r="E310" s="656">
        <f>D310-C310</f>
        <v>-3556699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201245838</v>
      </c>
      <c r="D314" s="590">
        <f>+D14+D15+D16+D19+D25+D26+D27+D30</f>
        <v>207773120</v>
      </c>
      <c r="E314" s="590">
        <f>D314-C314</f>
        <v>6527282</v>
      </c>
    </row>
    <row r="315" spans="1:5" x14ac:dyDescent="0.2">
      <c r="A315" s="588">
        <v>2</v>
      </c>
      <c r="B315" s="659" t="s">
        <v>861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862</v>
      </c>
      <c r="C316" s="657">
        <f>C314+C315</f>
        <v>201245838</v>
      </c>
      <c r="D316" s="657">
        <f>D314+D315</f>
        <v>207773120</v>
      </c>
      <c r="E316" s="593">
        <f>D316-C316</f>
        <v>6527282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201245838</v>
      </c>
      <c r="D318" s="589">
        <v>207773119</v>
      </c>
      <c r="E318" s="590">
        <f>D318-C318</f>
        <v>6527281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0</v>
      </c>
      <c r="D320" s="657">
        <f>D316-D318</f>
        <v>1</v>
      </c>
      <c r="E320" s="593">
        <f>D320-C320</f>
        <v>1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3802054</v>
      </c>
      <c r="D324" s="589">
        <f>+D193+D194</f>
        <v>4283068</v>
      </c>
      <c r="E324" s="590">
        <f>D324-C324</f>
        <v>481014</v>
      </c>
    </row>
    <row r="325" spans="1:5" x14ac:dyDescent="0.2">
      <c r="A325" s="588">
        <v>2</v>
      </c>
      <c r="B325" s="587" t="s">
        <v>866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867</v>
      </c>
      <c r="C326" s="657">
        <f>C324+C325</f>
        <v>3802054</v>
      </c>
      <c r="D326" s="657">
        <f>D324+D325</f>
        <v>4283068</v>
      </c>
      <c r="E326" s="593">
        <f>D326-C326</f>
        <v>481014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3802054</v>
      </c>
      <c r="D328" s="589">
        <v>4283068</v>
      </c>
      <c r="E328" s="590">
        <f>D328-C328</f>
        <v>481014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70" fitToHeight="0" orientation="portrait" horizontalDpi="1200" verticalDpi="1200" r:id="rId1"/>
  <headerFooter>
    <oddHeader>_x000D_
                &amp;LOFFICE OF HEALTH CARE ACCESS&amp;CTWELVE MONTHS ACTUAL FILING&amp;RMILFORD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30427605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70193326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7939514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7791203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148311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19106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605694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78151946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108579551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44548966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35862097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18598445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18369635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228810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184061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4578715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54644603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99193569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74976571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132796549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207773120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11082924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19869243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1421978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1350019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71959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12304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55814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21303525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32386449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18474987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7551820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4382443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4285321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97122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57243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444186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11991506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30466493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29557911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33295031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62852942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828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1789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262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255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7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1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24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2052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2880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1.5694900000000001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1.5037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1.2095605343511451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1.21733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0.92652999999999996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1.6584000000000001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1.018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1.4662195711500974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1.4959098194444442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73019420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33840979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39178441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0.53654823607199287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1957151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1957151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300473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3982595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4283068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5924574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67298998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62852942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62852942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-829025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62023917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62023918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-1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207773120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207773120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207773119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1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4283068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4283068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4283068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FILING&amp;RMILFORD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630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883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364</v>
      </c>
      <c r="D12" s="185">
        <v>183</v>
      </c>
      <c r="E12" s="185">
        <f>+D12-C12</f>
        <v>-181</v>
      </c>
      <c r="F12" s="77">
        <f>IF(C12=0,0,+E12/C12)</f>
        <v>-0.49725274725274726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78</v>
      </c>
      <c r="D13" s="185">
        <v>48</v>
      </c>
      <c r="E13" s="185">
        <f>+D13-C13</f>
        <v>-30</v>
      </c>
      <c r="F13" s="77">
        <f>IF(C13=0,0,+E13/C13)</f>
        <v>-0.38461538461538464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245354</v>
      </c>
      <c r="D15" s="76">
        <v>300473</v>
      </c>
      <c r="E15" s="76">
        <f>+D15-C15</f>
        <v>55119</v>
      </c>
      <c r="F15" s="77">
        <f>IF(C15=0,0,+E15/C15)</f>
        <v>0.22465091255899639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3145.5641025641025</v>
      </c>
      <c r="D16" s="79">
        <f>IF(D13=0,0,+D15/+D13)</f>
        <v>6259.854166666667</v>
      </c>
      <c r="E16" s="79">
        <f>+D16-C16</f>
        <v>3114.2900641025644</v>
      </c>
      <c r="F16" s="80">
        <f>IF(C16=0,0,+E16/C16)</f>
        <v>0.99005773290836929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0.36281999999999998</v>
      </c>
      <c r="D18" s="704">
        <v>0.34007399999999999</v>
      </c>
      <c r="E18" s="704">
        <f>+D18-C18</f>
        <v>-2.2745999999999988E-2</v>
      </c>
      <c r="F18" s="77">
        <f>IF(C18=0,0,+E18/C18)</f>
        <v>-6.2692244087977481E-2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89019.338279999996</v>
      </c>
      <c r="D19" s="79">
        <f>+D15*D18</f>
        <v>102183.05500199999</v>
      </c>
      <c r="E19" s="79">
        <f>+D19-C19</f>
        <v>13163.716721999997</v>
      </c>
      <c r="F19" s="80">
        <f>IF(C19=0,0,+E19/C19)</f>
        <v>0.14787479862628336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1141.2735676923076</v>
      </c>
      <c r="D20" s="79">
        <f>IF(D13=0,0,+D19/D13)</f>
        <v>2128.813645875</v>
      </c>
      <c r="E20" s="79">
        <f>+D20-C20</f>
        <v>987.54007818269247</v>
      </c>
      <c r="F20" s="80">
        <f>IF(C20=0,0,+E20/C20)</f>
        <v>0.8652965477677107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144239</v>
      </c>
      <c r="D22" s="76">
        <v>153743</v>
      </c>
      <c r="E22" s="76">
        <f>+D22-C22</f>
        <v>9504</v>
      </c>
      <c r="F22" s="77">
        <f>IF(C22=0,0,+E22/C22)</f>
        <v>6.5890639840819748E-2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26927</v>
      </c>
      <c r="D23" s="185">
        <v>49693</v>
      </c>
      <c r="E23" s="185">
        <f>+D23-C23</f>
        <v>22766</v>
      </c>
      <c r="F23" s="77">
        <f>IF(C23=0,0,+E23/C23)</f>
        <v>0.84547108849853303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74188</v>
      </c>
      <c r="D24" s="185">
        <v>97037</v>
      </c>
      <c r="E24" s="185">
        <f>+D24-C24</f>
        <v>22849</v>
      </c>
      <c r="F24" s="77">
        <f>IF(C24=0,0,+E24/C24)</f>
        <v>0.30798781474092846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245354</v>
      </c>
      <c r="D25" s="79">
        <f>+D22+D23+D24</f>
        <v>300473</v>
      </c>
      <c r="E25" s="79">
        <f>+E22+E23+E24</f>
        <v>55119</v>
      </c>
      <c r="F25" s="80">
        <f>IF(C25=0,0,+E25/C25)</f>
        <v>0.22465091255899639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68</v>
      </c>
      <c r="D27" s="185">
        <v>77</v>
      </c>
      <c r="E27" s="185">
        <f>+D27-C27</f>
        <v>9</v>
      </c>
      <c r="F27" s="77">
        <f>IF(C27=0,0,+E27/C27)</f>
        <v>0.13235294117647059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17</v>
      </c>
      <c r="D28" s="185">
        <v>19</v>
      </c>
      <c r="E28" s="185">
        <f>+D28-C28</f>
        <v>2</v>
      </c>
      <c r="F28" s="77">
        <f>IF(C28=0,0,+E28/C28)</f>
        <v>0.11764705882352941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70</v>
      </c>
      <c r="D29" s="185">
        <v>84</v>
      </c>
      <c r="E29" s="185">
        <f>+D29-C29</f>
        <v>14</v>
      </c>
      <c r="F29" s="77">
        <f>IF(C29=0,0,+E29/C29)</f>
        <v>0.2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23</v>
      </c>
      <c r="D30" s="185">
        <v>51</v>
      </c>
      <c r="E30" s="185">
        <f>+D30-C30</f>
        <v>28</v>
      </c>
      <c r="F30" s="77">
        <f>IF(C30=0,0,+E30/C30)</f>
        <v>1.2173913043478262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1112950</v>
      </c>
      <c r="D33" s="76">
        <v>1608395</v>
      </c>
      <c r="E33" s="76">
        <f>+D33-C33</f>
        <v>495445</v>
      </c>
      <c r="F33" s="77">
        <f>IF(C33=0,0,+E33/C33)</f>
        <v>0.44516375398715125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513188</v>
      </c>
      <c r="D34" s="185">
        <v>1339619</v>
      </c>
      <c r="E34" s="185">
        <f>+D34-C34</f>
        <v>826431</v>
      </c>
      <c r="F34" s="77">
        <f>IF(C34=0,0,+E34/C34)</f>
        <v>1.6103864470720282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1930562</v>
      </c>
      <c r="D35" s="185">
        <v>1034581</v>
      </c>
      <c r="E35" s="185">
        <f>+D35-C35</f>
        <v>-895981</v>
      </c>
      <c r="F35" s="77">
        <f>IF(C35=0,0,+E35/C35)</f>
        <v>-0.46410371694874342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3556700</v>
      </c>
      <c r="D36" s="79">
        <f>+D33+D34+D35</f>
        <v>3982595</v>
      </c>
      <c r="E36" s="79">
        <f>+E33+E34+E35</f>
        <v>425895</v>
      </c>
      <c r="F36" s="80">
        <f>IF(C36=0,0,+E36/C36)</f>
        <v>0.1197444260128771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245354</v>
      </c>
      <c r="D39" s="76">
        <f>+D25</f>
        <v>300473</v>
      </c>
      <c r="E39" s="76">
        <f>+D39-C39</f>
        <v>55119</v>
      </c>
      <c r="F39" s="77">
        <f>IF(C39=0,0,+E39/C39)</f>
        <v>0.22465091255899639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3556700</v>
      </c>
      <c r="D40" s="185">
        <f>+D36</f>
        <v>3982595</v>
      </c>
      <c r="E40" s="185">
        <f>+D40-C40</f>
        <v>425895</v>
      </c>
      <c r="F40" s="77">
        <f>IF(C40=0,0,+E40/C40)</f>
        <v>0.1197444260128771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3802054</v>
      </c>
      <c r="D41" s="79">
        <f>+D39+D40</f>
        <v>4283068</v>
      </c>
      <c r="E41" s="79">
        <f>+E39+E40</f>
        <v>481014</v>
      </c>
      <c r="F41" s="80">
        <f>IF(C41=0,0,+E41/C41)</f>
        <v>0.12651424729895999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1257189</v>
      </c>
      <c r="D43" s="76">
        <f t="shared" si="0"/>
        <v>1762138</v>
      </c>
      <c r="E43" s="76">
        <f>+D43-C43</f>
        <v>504949</v>
      </c>
      <c r="F43" s="77">
        <f>IF(C43=0,0,+E43/C43)</f>
        <v>0.40164923492012738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540115</v>
      </c>
      <c r="D44" s="185">
        <f t="shared" si="0"/>
        <v>1389312</v>
      </c>
      <c r="E44" s="185">
        <f>+D44-C44</f>
        <v>849197</v>
      </c>
      <c r="F44" s="77">
        <f>IF(C44=0,0,+E44/C44)</f>
        <v>1.5722522055488184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2004750</v>
      </c>
      <c r="D45" s="185">
        <f t="shared" si="0"/>
        <v>1131618</v>
      </c>
      <c r="E45" s="185">
        <f>+D45-C45</f>
        <v>-873132</v>
      </c>
      <c r="F45" s="77">
        <f>IF(C45=0,0,+E45/C45)</f>
        <v>-0.43553161242050131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3802054</v>
      </c>
      <c r="D46" s="79">
        <f>+D43+D44+D45</f>
        <v>4283068</v>
      </c>
      <c r="E46" s="79">
        <f>+E43+E44+E45</f>
        <v>481014</v>
      </c>
      <c r="F46" s="80">
        <f>IF(C46=0,0,+E46/C46)</f>
        <v>0.12651424729895999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912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4" orientation="portrait" horizontalDpi="1200" verticalDpi="1200" r:id="rId1"/>
  <headerFooter>
    <oddHeader>_x000D_
                  &amp;LOFFICE OF HEALTH CARE ACCESS&amp;CTWELVE MONTHS ACTUAL FILING&amp;RMILFORD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630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913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914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64692160</v>
      </c>
      <c r="D15" s="76">
        <v>73019420</v>
      </c>
      <c r="E15" s="76">
        <f>+D15-C15</f>
        <v>8327260</v>
      </c>
      <c r="F15" s="77">
        <f>IF(C15=0,0,E15/C15)</f>
        <v>0.12872131646245852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32529837</v>
      </c>
      <c r="D17" s="76">
        <v>39178441</v>
      </c>
      <c r="E17" s="76">
        <f>+D17-C17</f>
        <v>6648604</v>
      </c>
      <c r="F17" s="77">
        <f>IF(C17=0,0,E17/C17)</f>
        <v>0.20438479295177531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32162323</v>
      </c>
      <c r="D19" s="79">
        <f>+D15-D17</f>
        <v>33840979</v>
      </c>
      <c r="E19" s="79">
        <f>+D19-C19</f>
        <v>1678656</v>
      </c>
      <c r="F19" s="80">
        <f>IF(C19=0,0,E19/C19)</f>
        <v>5.2193244872268708E-2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0.50284048329813069</v>
      </c>
      <c r="D21" s="720">
        <f>IF(D15=0,0,D17/D15)</f>
        <v>0.53654823607199287</v>
      </c>
      <c r="E21" s="720">
        <f>+D21-C21</f>
        <v>3.3707752773862176E-2</v>
      </c>
      <c r="F21" s="80">
        <f>IF(C21=0,0,E21/C21)</f>
        <v>6.7034683748557852E-2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90" orientation="landscape" horizontalDpi="1200" verticalDpi="1200" r:id="rId1"/>
  <headerFooter>
    <oddHeader>&amp;L&amp;12OFFICE OF HEALTH CARE ACCESS&amp;C&amp;12TWELVE MONTHS ACTUAL FILING&amp;R&amp;12MILFORD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99249502</v>
      </c>
      <c r="D10" s="744">
        <v>105800542</v>
      </c>
      <c r="E10" s="744">
        <v>108579551</v>
      </c>
    </row>
    <row r="11" spans="1:6" ht="26.1" customHeight="1" x14ac:dyDescent="0.25">
      <c r="A11" s="742">
        <v>2</v>
      </c>
      <c r="B11" s="743" t="s">
        <v>933</v>
      </c>
      <c r="C11" s="744">
        <v>98054777</v>
      </c>
      <c r="D11" s="744">
        <v>95445296</v>
      </c>
      <c r="E11" s="744">
        <v>99193569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197304279</v>
      </c>
      <c r="D12" s="744">
        <f>+D11+D10</f>
        <v>201245838</v>
      </c>
      <c r="E12" s="744">
        <f>+E11+E10</f>
        <v>207773120</v>
      </c>
    </row>
    <row r="13" spans="1:6" ht="26.1" customHeight="1" x14ac:dyDescent="0.25">
      <c r="A13" s="742">
        <v>4</v>
      </c>
      <c r="B13" s="743" t="s">
        <v>507</v>
      </c>
      <c r="C13" s="744">
        <v>63500794</v>
      </c>
      <c r="D13" s="744">
        <v>60372640</v>
      </c>
      <c r="E13" s="744">
        <v>62023918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72076598</v>
      </c>
      <c r="D16" s="744">
        <v>68666088</v>
      </c>
      <c r="E16" s="744">
        <v>67298998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12880</v>
      </c>
      <c r="D19" s="747">
        <v>12110</v>
      </c>
      <c r="E19" s="747">
        <v>11071</v>
      </c>
    </row>
    <row r="20" spans="1:5" ht="26.1" customHeight="1" x14ac:dyDescent="0.25">
      <c r="A20" s="742">
        <v>2</v>
      </c>
      <c r="B20" s="743" t="s">
        <v>381</v>
      </c>
      <c r="C20" s="748">
        <v>3121</v>
      </c>
      <c r="D20" s="748">
        <v>3201</v>
      </c>
      <c r="E20" s="748">
        <v>2880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4.1268824094841401</v>
      </c>
      <c r="D21" s="749">
        <f>IF(D20=0,0,+D19/D20)</f>
        <v>3.7831927522649171</v>
      </c>
      <c r="E21" s="749">
        <f>IF(E20=0,0,+E19/E20)</f>
        <v>3.8440972222222221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25604.955816503742</v>
      </c>
      <c r="D22" s="748">
        <f>IF(D10=0,0,D19*(D12/D10))</f>
        <v>23034.731695230825</v>
      </c>
      <c r="E22" s="748">
        <f>IF(E10=0,0,E19*(E12/E10))</f>
        <v>21184.985481474316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6204.430675722685</v>
      </c>
      <c r="D23" s="748">
        <f>IF(D10=0,0,D20*(D12/D10))</f>
        <v>6088.7015818690234</v>
      </c>
      <c r="E23" s="748">
        <f>IF(E10=0,0,E20*(E12/E10))</f>
        <v>5511.043102397799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1.4104924383210509</v>
      </c>
      <c r="D26" s="750">
        <v>1.377479612621056</v>
      </c>
      <c r="E26" s="750">
        <v>1.4959098194444442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18167.142605575136</v>
      </c>
      <c r="D27" s="748">
        <f>D19*D26</f>
        <v>16681.278108840987</v>
      </c>
      <c r="E27" s="748">
        <f>E19*E26</f>
        <v>16561.217611069442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4402.1468999999997</v>
      </c>
      <c r="D28" s="748">
        <f>D20*D26</f>
        <v>4409.3122400000002</v>
      </c>
      <c r="E28" s="748">
        <f>E20*E26</f>
        <v>4308.2202799999995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36115.596562723134</v>
      </c>
      <c r="D29" s="748">
        <f>D22*D26</f>
        <v>31729.873292376516</v>
      </c>
      <c r="E29" s="748">
        <f>E22*E26</f>
        <v>31690.827806525416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8751.3025521940144</v>
      </c>
      <c r="D30" s="748">
        <f>D23*D26</f>
        <v>8387.0622963581536</v>
      </c>
      <c r="E30" s="748">
        <f>E23*E26</f>
        <v>8244.0234922584405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15318.655201863354</v>
      </c>
      <c r="D33" s="744">
        <f>IF(D19=0,0,D12/D19)</f>
        <v>16618.1534269199</v>
      </c>
      <c r="E33" s="744">
        <f>IF(E19=0,0,E12/E19)</f>
        <v>18767.330864420557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63218.288689522589</v>
      </c>
      <c r="D34" s="744">
        <f>IF(D20=0,0,D12/D20)</f>
        <v>62869.677600749768</v>
      </c>
      <c r="E34" s="744">
        <f>IF(E20=0,0,E12/E20)</f>
        <v>72143.444444444438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7705.7066770186348</v>
      </c>
      <c r="D35" s="744">
        <f>IF(D22=0,0,D12/D22)</f>
        <v>8736.6260941370765</v>
      </c>
      <c r="E35" s="744">
        <f>IF(E22=0,0,E12/E22)</f>
        <v>9807.5648992864244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31800.545338032684</v>
      </c>
      <c r="D36" s="744">
        <f>IF(D23=0,0,D12/D23)</f>
        <v>33052.340518587938</v>
      </c>
      <c r="E36" s="744">
        <f>IF(E23=0,0,E12/E23)</f>
        <v>37701.232986111107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5463.1322137330671</v>
      </c>
      <c r="D37" s="744">
        <f>IF(D29=0,0,D12/D29)</f>
        <v>6342.4721600874382</v>
      </c>
      <c r="E37" s="744">
        <f>IF(E29=0,0,E12/E29)</f>
        <v>6556.2541082381485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22545.704233541142</v>
      </c>
      <c r="D38" s="744">
        <f>IF(D30=0,0,D12/D30)</f>
        <v>23994.794707484809</v>
      </c>
      <c r="E38" s="744">
        <f>IF(E30=0,0,E12/E30)</f>
        <v>25202.878205661298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3876.1832947990665</v>
      </c>
      <c r="D39" s="744">
        <f>IF(D22=0,0,D10/D22)</f>
        <v>4593.0876643076008</v>
      </c>
      <c r="E39" s="744">
        <f>IF(E22=0,0,E10/E22)</f>
        <v>5125.3068403067737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15996.552655242544</v>
      </c>
      <c r="D40" s="744">
        <f>IF(D23=0,0,D10/D23)</f>
        <v>17376.535962125909</v>
      </c>
      <c r="E40" s="744">
        <f>IF(E23=0,0,E10/E23)</f>
        <v>19702.177787859822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4930.1858695652172</v>
      </c>
      <c r="D43" s="744">
        <f>IF(D19=0,0,D13/D19)</f>
        <v>4985.3542526837327</v>
      </c>
      <c r="E43" s="744">
        <f>IF(E19=0,0,E13/E19)</f>
        <v>5602.3772016981302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20346.297340595964</v>
      </c>
      <c r="D44" s="744">
        <f>IF(D20=0,0,D13/D20)</f>
        <v>18860.556076226178</v>
      </c>
      <c r="E44" s="744">
        <f>IF(E20=0,0,E13/E20)</f>
        <v>21536.082638888889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2480.0196670939144</v>
      </c>
      <c r="D45" s="744">
        <f>IF(D22=0,0,D13/D22)</f>
        <v>2620.9395793613571</v>
      </c>
      <c r="E45" s="744">
        <f>IF(E22=0,0,E13/E22)</f>
        <v>2927.7300215399346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10234.749539304587</v>
      </c>
      <c r="D46" s="744">
        <f>IF(D23=0,0,D13/D23)</f>
        <v>9915.5196207641475</v>
      </c>
      <c r="E46" s="744">
        <f>IF(E23=0,0,E13/E23)</f>
        <v>11254.478843218269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1758.2651276358151</v>
      </c>
      <c r="D47" s="744">
        <f>IF(D29=0,0,D13/D29)</f>
        <v>1902.7066210978301</v>
      </c>
      <c r="E47" s="744">
        <f>IF(E29=0,0,E13/E29)</f>
        <v>1957.1567640536275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7256.1534264496313</v>
      </c>
      <c r="D48" s="744">
        <f>IF(D30=0,0,D13/D30)</f>
        <v>7198.3058986237793</v>
      </c>
      <c r="E48" s="744">
        <f>IF(E30=0,0,E13/E30)</f>
        <v>7523.5008801519825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5596.0091614906833</v>
      </c>
      <c r="D51" s="744">
        <f>IF(D19=0,0,D16/D19)</f>
        <v>5670.1971924029731</v>
      </c>
      <c r="E51" s="744">
        <f>IF(E19=0,0,E16/E19)</f>
        <v>6078.8544846897303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23094.071771867992</v>
      </c>
      <c r="D52" s="744">
        <f>IF(D20=0,0,D16/D20)</f>
        <v>21451.44892221181</v>
      </c>
      <c r="E52" s="744">
        <f>IF(E20=0,0,E16/E20)</f>
        <v>23367.707638888889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2814.9471733726969</v>
      </c>
      <c r="D53" s="744">
        <f>IF(D22=0,0,D16/D22)</f>
        <v>2980.9805865555977</v>
      </c>
      <c r="E53" s="744">
        <f>IF(E22=0,0,E16/E22)</f>
        <v>3176.7309002336165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11616.955973418882</v>
      </c>
      <c r="D54" s="744">
        <f>IF(D23=0,0,D16/D23)</f>
        <v>11277.624149699559</v>
      </c>
      <c r="E54" s="744">
        <f>IF(E23=0,0,E16/E23)</f>
        <v>12211.662429335543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1995.7194359180035</v>
      </c>
      <c r="D55" s="744">
        <f>IF(D29=0,0,D16/D29)</f>
        <v>2164.083271536349</v>
      </c>
      <c r="E55" s="744">
        <f>IF(E29=0,0,E16/E29)</f>
        <v>2123.6112357450806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8236.0994343556176</v>
      </c>
      <c r="D56" s="744">
        <f>IF(D30=0,0,D16/D30)</f>
        <v>8187.1441481740658</v>
      </c>
      <c r="E56" s="744">
        <f>IF(E30=0,0,E16/E30)</f>
        <v>8163.3680524075653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14893505</v>
      </c>
      <c r="D59" s="752">
        <v>14504923</v>
      </c>
      <c r="E59" s="752">
        <v>13720865</v>
      </c>
    </row>
    <row r="60" spans="1:6" ht="26.1" customHeight="1" x14ac:dyDescent="0.25">
      <c r="A60" s="742">
        <v>2</v>
      </c>
      <c r="B60" s="743" t="s">
        <v>969</v>
      </c>
      <c r="C60" s="752">
        <v>4202695</v>
      </c>
      <c r="D60" s="752">
        <v>4784452</v>
      </c>
      <c r="E60" s="752">
        <v>3719409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19096200</v>
      </c>
      <c r="D61" s="755">
        <f>D59+D60</f>
        <v>19289375</v>
      </c>
      <c r="E61" s="755">
        <f>E59+E60</f>
        <v>17440274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4236141</v>
      </c>
      <c r="D64" s="744">
        <v>3081841</v>
      </c>
      <c r="E64" s="752">
        <v>5764295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560359</v>
      </c>
      <c r="D65" s="752">
        <v>495240</v>
      </c>
      <c r="E65" s="752">
        <v>704333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4796500</v>
      </c>
      <c r="D66" s="757">
        <f>D64+D65</f>
        <v>3577081</v>
      </c>
      <c r="E66" s="757">
        <f>E64+E65</f>
        <v>6468628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16557712</v>
      </c>
      <c r="D69" s="752">
        <v>14668666</v>
      </c>
      <c r="E69" s="752">
        <v>14224741</v>
      </c>
    </row>
    <row r="70" spans="1:6" ht="26.1" customHeight="1" x14ac:dyDescent="0.25">
      <c r="A70" s="742">
        <v>2</v>
      </c>
      <c r="B70" s="743" t="s">
        <v>977</v>
      </c>
      <c r="C70" s="752">
        <v>4576268</v>
      </c>
      <c r="D70" s="752">
        <v>4842212</v>
      </c>
      <c r="E70" s="752">
        <v>3871221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21133980</v>
      </c>
      <c r="D71" s="755">
        <f>D69+D70</f>
        <v>19510878</v>
      </c>
      <c r="E71" s="755">
        <f>E69+E70</f>
        <v>18095962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35687358</v>
      </c>
      <c r="D75" s="744">
        <f t="shared" si="0"/>
        <v>32255430</v>
      </c>
      <c r="E75" s="744">
        <f t="shared" si="0"/>
        <v>33709901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9339322</v>
      </c>
      <c r="D76" s="744">
        <f t="shared" si="0"/>
        <v>10121904</v>
      </c>
      <c r="E76" s="744">
        <f t="shared" si="0"/>
        <v>8294963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45026680</v>
      </c>
      <c r="D77" s="757">
        <f>D75+D76</f>
        <v>42377334</v>
      </c>
      <c r="E77" s="757">
        <f>E75+E76</f>
        <v>42004864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195</v>
      </c>
      <c r="D80" s="749">
        <v>159.6</v>
      </c>
      <c r="E80" s="749">
        <v>172.9</v>
      </c>
    </row>
    <row r="81" spans="1:5" ht="26.1" customHeight="1" x14ac:dyDescent="0.25">
      <c r="A81" s="742">
        <v>2</v>
      </c>
      <c r="B81" s="743" t="s">
        <v>617</v>
      </c>
      <c r="C81" s="749">
        <v>13</v>
      </c>
      <c r="D81" s="749">
        <v>11</v>
      </c>
      <c r="E81" s="749">
        <v>16.100000000000001</v>
      </c>
    </row>
    <row r="82" spans="1:5" ht="26.1" customHeight="1" x14ac:dyDescent="0.25">
      <c r="A82" s="742">
        <v>3</v>
      </c>
      <c r="B82" s="743" t="s">
        <v>983</v>
      </c>
      <c r="C82" s="749">
        <v>260</v>
      </c>
      <c r="D82" s="749">
        <v>273.60000000000002</v>
      </c>
      <c r="E82" s="749">
        <v>245.9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468</v>
      </c>
      <c r="D83" s="759">
        <f>D80+D81+D82</f>
        <v>444.20000000000005</v>
      </c>
      <c r="E83" s="759">
        <f>E80+E81+E82</f>
        <v>434.9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76376.948717948719</v>
      </c>
      <c r="D86" s="752">
        <f>IF(D80=0,0,D59/D80)</f>
        <v>90882.976190476198</v>
      </c>
      <c r="E86" s="752">
        <f>IF(E80=0,0,E59/E80)</f>
        <v>79357.229612492767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21552.282051282051</v>
      </c>
      <c r="D87" s="752">
        <f>IF(D80=0,0,D60/D80)</f>
        <v>29977.769423558897</v>
      </c>
      <c r="E87" s="752">
        <f>IF(E80=0,0,E60/E80)</f>
        <v>21511.908617698089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97929.230769230766</v>
      </c>
      <c r="D88" s="755">
        <f>+D86+D87</f>
        <v>120860.7456140351</v>
      </c>
      <c r="E88" s="755">
        <f>+E86+E87</f>
        <v>100869.13823019086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325857</v>
      </c>
      <c r="D91" s="744">
        <f>IF(D81=0,0,D64/D81)</f>
        <v>280167.36363636365</v>
      </c>
      <c r="E91" s="744">
        <f>IF(E81=0,0,E64/E81)</f>
        <v>358030.74534161488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43104.538461538461</v>
      </c>
      <c r="D92" s="744">
        <f>IF(D81=0,0,D65/D81)</f>
        <v>45021.818181818184</v>
      </c>
      <c r="E92" s="744">
        <f>IF(E81=0,0,E65/E81)</f>
        <v>43747.391304347824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368961.53846153844</v>
      </c>
      <c r="D93" s="757">
        <f>+D91+D92</f>
        <v>325189.18181818182</v>
      </c>
      <c r="E93" s="757">
        <f>+E91+E92</f>
        <v>401778.13664596272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63683.507692307692</v>
      </c>
      <c r="D96" s="752">
        <f>IF(D82=0,0,D69/D82)</f>
        <v>53613.545321637423</v>
      </c>
      <c r="E96" s="752">
        <f>IF(E82=0,0,E69/E82)</f>
        <v>57847.665717771451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17601.030769230769</v>
      </c>
      <c r="D97" s="752">
        <f>IF(D82=0,0,D70/D82)</f>
        <v>17698.143274853799</v>
      </c>
      <c r="E97" s="752">
        <f>IF(E82=0,0,E70/E82)</f>
        <v>15743.070353802359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81284.538461538468</v>
      </c>
      <c r="D98" s="757">
        <f>+D96+D97</f>
        <v>71311.688596491222</v>
      </c>
      <c r="E98" s="757">
        <f>+E96+E97</f>
        <v>73590.736071573803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76255.038461538468</v>
      </c>
      <c r="D101" s="744">
        <f>IF(D83=0,0,D75/D83)</f>
        <v>72614.655560558298</v>
      </c>
      <c r="E101" s="744">
        <f>IF(E83=0,0,E75/E83)</f>
        <v>77511.844102092437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19955.816239316238</v>
      </c>
      <c r="D102" s="761">
        <f>IF(D83=0,0,D76/D83)</f>
        <v>22786.816749212063</v>
      </c>
      <c r="E102" s="761">
        <f>IF(E83=0,0,E76/E83)</f>
        <v>19073.265118418029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96210.854700854703</v>
      </c>
      <c r="D103" s="757">
        <f>+D101+D102</f>
        <v>95401.472309770354</v>
      </c>
      <c r="E103" s="757">
        <f>+E101+E102</f>
        <v>96585.109220510465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3495.8602484472049</v>
      </c>
      <c r="D108" s="744">
        <f>IF(D19=0,0,D77/D19)</f>
        <v>3499.366969446738</v>
      </c>
      <c r="E108" s="744">
        <f>IF(E19=0,0,E77/E19)</f>
        <v>3794.1345858549362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14427.004165331624</v>
      </c>
      <c r="D109" s="744">
        <f>IF(D20=0,0,D77/D20)</f>
        <v>13238.779756326148</v>
      </c>
      <c r="E109" s="744">
        <f>IF(E20=0,0,E77/E20)</f>
        <v>14585.022222222222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1758.514262734167</v>
      </c>
      <c r="D110" s="744">
        <f>IF(D22=0,0,D77/D22)</f>
        <v>1839.7146778477095</v>
      </c>
      <c r="E110" s="744">
        <f>IF(E22=0,0,E77/E22)</f>
        <v>1982.7657676108436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7257.181577704604</v>
      </c>
      <c r="D111" s="744">
        <f>IF(D23=0,0,D77/D23)</f>
        <v>6959.9952354688412</v>
      </c>
      <c r="E111" s="744">
        <f>IF(E23=0,0,E77/E23)</f>
        <v>7621.9443795901561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1246.7378164943418</v>
      </c>
      <c r="D112" s="744">
        <f>IF(D29=0,0,D77/D29)</f>
        <v>1335.5658123659027</v>
      </c>
      <c r="E112" s="744">
        <f>IF(E29=0,0,E77/E29)</f>
        <v>1325.4580870036734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5145.1403641291645</v>
      </c>
      <c r="D113" s="744">
        <f>IF(D30=0,0,D77/D30)</f>
        <v>5052.7029015154885</v>
      </c>
      <c r="E113" s="744">
        <f>IF(E30=0,0,E77/E30)</f>
        <v>5095.1897504228018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FILING&amp;R&amp;"Arial,Bold"&amp;12MILFORD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201245838</v>
      </c>
      <c r="D12" s="76">
        <v>207773119</v>
      </c>
      <c r="E12" s="76">
        <f t="shared" ref="E12:E21" si="0">D12-C12</f>
        <v>6527281</v>
      </c>
      <c r="F12" s="77">
        <f t="shared" ref="F12:F21" si="1">IF(C12=0,0,E12/C12)</f>
        <v>3.2434365176784427E-2</v>
      </c>
    </row>
    <row r="13" spans="1:8" ht="23.1" customHeight="1" x14ac:dyDescent="0.2">
      <c r="A13" s="74">
        <v>2</v>
      </c>
      <c r="B13" s="75" t="s">
        <v>72</v>
      </c>
      <c r="C13" s="76">
        <v>135274838</v>
      </c>
      <c r="D13" s="76">
        <v>140637108</v>
      </c>
      <c r="E13" s="76">
        <f t="shared" si="0"/>
        <v>5362270</v>
      </c>
      <c r="F13" s="77">
        <f t="shared" si="1"/>
        <v>3.9639818308265136E-2</v>
      </c>
    </row>
    <row r="14" spans="1:8" ht="23.1" customHeight="1" x14ac:dyDescent="0.2">
      <c r="A14" s="74">
        <v>3</v>
      </c>
      <c r="B14" s="75" t="s">
        <v>73</v>
      </c>
      <c r="C14" s="76">
        <v>245354</v>
      </c>
      <c r="D14" s="76">
        <v>300473</v>
      </c>
      <c r="E14" s="76">
        <f t="shared" si="0"/>
        <v>55119</v>
      </c>
      <c r="F14" s="77">
        <f t="shared" si="1"/>
        <v>0.22465091255899639</v>
      </c>
    </row>
    <row r="15" spans="1:8" ht="23.1" customHeight="1" x14ac:dyDescent="0.2">
      <c r="A15" s="74">
        <v>4</v>
      </c>
      <c r="B15" s="75" t="s">
        <v>74</v>
      </c>
      <c r="C15" s="76">
        <v>1796306</v>
      </c>
      <c r="D15" s="76">
        <v>829025</v>
      </c>
      <c r="E15" s="76">
        <f t="shared" si="0"/>
        <v>-967281</v>
      </c>
      <c r="F15" s="77">
        <f t="shared" si="1"/>
        <v>-0.53848342097615887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63929340</v>
      </c>
      <c r="D16" s="79">
        <f>D12-D13-D14-D15</f>
        <v>66006513</v>
      </c>
      <c r="E16" s="79">
        <f t="shared" si="0"/>
        <v>2077173</v>
      </c>
      <c r="F16" s="80">
        <f t="shared" si="1"/>
        <v>3.2491700993628275E-2</v>
      </c>
    </row>
    <row r="17" spans="1:7" ht="23.1" customHeight="1" x14ac:dyDescent="0.2">
      <c r="A17" s="74">
        <v>5</v>
      </c>
      <c r="B17" s="75" t="s">
        <v>76</v>
      </c>
      <c r="C17" s="76">
        <v>3556700</v>
      </c>
      <c r="D17" s="76">
        <v>3982595</v>
      </c>
      <c r="E17" s="76">
        <f t="shared" si="0"/>
        <v>425895</v>
      </c>
      <c r="F17" s="77">
        <f t="shared" si="1"/>
        <v>0.1197444260128771</v>
      </c>
      <c r="G17" s="65"/>
    </row>
    <row r="18" spans="1:7" ht="31.5" customHeight="1" x14ac:dyDescent="0.25">
      <c r="A18" s="71"/>
      <c r="B18" s="81" t="s">
        <v>77</v>
      </c>
      <c r="C18" s="79">
        <f>C16-C17</f>
        <v>60372640</v>
      </c>
      <c r="D18" s="79">
        <f>D16-D17</f>
        <v>62023918</v>
      </c>
      <c r="E18" s="79">
        <f t="shared" si="0"/>
        <v>1651278</v>
      </c>
      <c r="F18" s="80">
        <f t="shared" si="1"/>
        <v>2.7351429389206768E-2</v>
      </c>
    </row>
    <row r="19" spans="1:7" ht="23.1" customHeight="1" x14ac:dyDescent="0.2">
      <c r="A19" s="74">
        <v>6</v>
      </c>
      <c r="B19" s="75" t="s">
        <v>78</v>
      </c>
      <c r="C19" s="76">
        <v>3567807</v>
      </c>
      <c r="D19" s="76">
        <v>5924574</v>
      </c>
      <c r="E19" s="76">
        <f t="shared" si="0"/>
        <v>2356767</v>
      </c>
      <c r="F19" s="77">
        <f t="shared" si="1"/>
        <v>0.66056459892589481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0</v>
      </c>
      <c r="E20" s="76">
        <f t="shared" si="0"/>
        <v>0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63940447</v>
      </c>
      <c r="D21" s="79">
        <f>SUM(D18:D20)</f>
        <v>67948492</v>
      </c>
      <c r="E21" s="79">
        <f t="shared" si="0"/>
        <v>4008045</v>
      </c>
      <c r="F21" s="80">
        <f t="shared" si="1"/>
        <v>6.2684031595837922E-2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32255430</v>
      </c>
      <c r="D24" s="76">
        <v>33709901</v>
      </c>
      <c r="E24" s="76">
        <f t="shared" ref="E24:E33" si="2">D24-C24</f>
        <v>1454471</v>
      </c>
      <c r="F24" s="77">
        <f t="shared" ref="F24:F33" si="3">IF(C24=0,0,E24/C24)</f>
        <v>4.5092283686808704E-2</v>
      </c>
    </row>
    <row r="25" spans="1:7" ht="23.1" customHeight="1" x14ac:dyDescent="0.2">
      <c r="A25" s="74">
        <v>2</v>
      </c>
      <c r="B25" s="75" t="s">
        <v>83</v>
      </c>
      <c r="C25" s="76">
        <v>10121904</v>
      </c>
      <c r="D25" s="76">
        <v>8294963</v>
      </c>
      <c r="E25" s="76">
        <f t="shared" si="2"/>
        <v>-1826941</v>
      </c>
      <c r="F25" s="77">
        <f t="shared" si="3"/>
        <v>-0.18049380827954897</v>
      </c>
    </row>
    <row r="26" spans="1:7" ht="23.1" customHeight="1" x14ac:dyDescent="0.2">
      <c r="A26" s="74">
        <v>3</v>
      </c>
      <c r="B26" s="75" t="s">
        <v>84</v>
      </c>
      <c r="C26" s="76">
        <v>1108353</v>
      </c>
      <c r="D26" s="76">
        <v>985221</v>
      </c>
      <c r="E26" s="76">
        <f t="shared" si="2"/>
        <v>-123132</v>
      </c>
      <c r="F26" s="77">
        <f t="shared" si="3"/>
        <v>-0.11109457005123818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11980208</v>
      </c>
      <c r="D27" s="76">
        <v>12144661</v>
      </c>
      <c r="E27" s="76">
        <f t="shared" si="2"/>
        <v>164453</v>
      </c>
      <c r="F27" s="77">
        <f t="shared" si="3"/>
        <v>1.3727057159608581E-2</v>
      </c>
    </row>
    <row r="28" spans="1:7" ht="23.1" customHeight="1" x14ac:dyDescent="0.2">
      <c r="A28" s="74">
        <v>5</v>
      </c>
      <c r="B28" s="75" t="s">
        <v>86</v>
      </c>
      <c r="C28" s="76">
        <v>2462228</v>
      </c>
      <c r="D28" s="76">
        <v>2354624</v>
      </c>
      <c r="E28" s="76">
        <f t="shared" si="2"/>
        <v>-107604</v>
      </c>
      <c r="F28" s="77">
        <f t="shared" si="3"/>
        <v>-4.3701883010021821E-2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85184</v>
      </c>
      <c r="D30" s="76">
        <v>68338</v>
      </c>
      <c r="E30" s="76">
        <f t="shared" si="2"/>
        <v>-16846</v>
      </c>
      <c r="F30" s="77">
        <f t="shared" si="3"/>
        <v>-0.19776014274981218</v>
      </c>
    </row>
    <row r="31" spans="1:7" ht="23.1" customHeight="1" x14ac:dyDescent="0.2">
      <c r="A31" s="74">
        <v>8</v>
      </c>
      <c r="B31" s="75" t="s">
        <v>89</v>
      </c>
      <c r="C31" s="76">
        <v>711640</v>
      </c>
      <c r="D31" s="76">
        <v>572805</v>
      </c>
      <c r="E31" s="76">
        <f t="shared" si="2"/>
        <v>-138835</v>
      </c>
      <c r="F31" s="77">
        <f t="shared" si="3"/>
        <v>-0.1950916193581024</v>
      </c>
    </row>
    <row r="32" spans="1:7" ht="23.1" customHeight="1" x14ac:dyDescent="0.2">
      <c r="A32" s="74">
        <v>9</v>
      </c>
      <c r="B32" s="75" t="s">
        <v>90</v>
      </c>
      <c r="C32" s="76">
        <v>9941141</v>
      </c>
      <c r="D32" s="76">
        <v>9168485</v>
      </c>
      <c r="E32" s="76">
        <f t="shared" si="2"/>
        <v>-772656</v>
      </c>
      <c r="F32" s="77">
        <f t="shared" si="3"/>
        <v>-7.772307021900203E-2</v>
      </c>
    </row>
    <row r="33" spans="1:6" ht="23.1" customHeight="1" x14ac:dyDescent="0.25">
      <c r="A33" s="71"/>
      <c r="B33" s="78" t="s">
        <v>91</v>
      </c>
      <c r="C33" s="79">
        <f>SUM(C24:C32)</f>
        <v>68666088</v>
      </c>
      <c r="D33" s="79">
        <f>SUM(D24:D32)</f>
        <v>67298998</v>
      </c>
      <c r="E33" s="79">
        <f t="shared" si="2"/>
        <v>-1367090</v>
      </c>
      <c r="F33" s="80">
        <f t="shared" si="3"/>
        <v>-1.9909245448786889E-2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-4725641</v>
      </c>
      <c r="D35" s="79">
        <f>+D21-D33</f>
        <v>649494</v>
      </c>
      <c r="E35" s="79">
        <f>D35-C35</f>
        <v>5375135</v>
      </c>
      <c r="F35" s="80">
        <f>IF(C35=0,0,E35/C35)</f>
        <v>-1.1374404022650049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296789</v>
      </c>
      <c r="D38" s="76">
        <v>139451</v>
      </c>
      <c r="E38" s="76">
        <f>D38-C38</f>
        <v>-157338</v>
      </c>
      <c r="F38" s="77">
        <f>IF(C38=0,0,E38/C38)</f>
        <v>-0.53013420308704162</v>
      </c>
    </row>
    <row r="39" spans="1:6" ht="23.1" customHeight="1" x14ac:dyDescent="0.2">
      <c r="A39" s="85">
        <v>2</v>
      </c>
      <c r="B39" s="75" t="s">
        <v>95</v>
      </c>
      <c r="C39" s="76">
        <v>22978</v>
      </c>
      <c r="D39" s="76">
        <v>2485</v>
      </c>
      <c r="E39" s="76">
        <f>D39-C39</f>
        <v>-20493</v>
      </c>
      <c r="F39" s="77">
        <f>IF(C39=0,0,E39/C39)</f>
        <v>-0.89185307685612325</v>
      </c>
    </row>
    <row r="40" spans="1:6" ht="23.1" customHeight="1" x14ac:dyDescent="0.2">
      <c r="A40" s="85">
        <v>3</v>
      </c>
      <c r="B40" s="75" t="s">
        <v>96</v>
      </c>
      <c r="C40" s="76">
        <v>0</v>
      </c>
      <c r="D40" s="76">
        <v>0</v>
      </c>
      <c r="E40" s="76">
        <f>D40-C40</f>
        <v>0</v>
      </c>
      <c r="F40" s="77">
        <f>IF(C40=0,0,E40/C40)</f>
        <v>0</v>
      </c>
    </row>
    <row r="41" spans="1:6" ht="23.1" customHeight="1" x14ac:dyDescent="0.25">
      <c r="A41" s="83"/>
      <c r="B41" s="78" t="s">
        <v>97</v>
      </c>
      <c r="C41" s="79">
        <f>SUM(C38:C40)</f>
        <v>319767</v>
      </c>
      <c r="D41" s="79">
        <f>SUM(D38:D40)</f>
        <v>141936</v>
      </c>
      <c r="E41" s="79">
        <f>D41-C41</f>
        <v>-177831</v>
      </c>
      <c r="F41" s="80">
        <f>IF(C41=0,0,E41/C41)</f>
        <v>-0.55612680482976662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-4405874</v>
      </c>
      <c r="D43" s="79">
        <f>D35+D41</f>
        <v>791430</v>
      </c>
      <c r="E43" s="79">
        <f>D43-C43</f>
        <v>5197304</v>
      </c>
      <c r="F43" s="80">
        <f>IF(C43=0,0,E43/C43)</f>
        <v>-1.1796306476308673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-207863</v>
      </c>
      <c r="D46" s="76">
        <v>-39227</v>
      </c>
      <c r="E46" s="76">
        <f>D46-C46</f>
        <v>168636</v>
      </c>
      <c r="F46" s="77">
        <f>IF(C46=0,0,E46/C46)</f>
        <v>-0.81128435556111478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-207863</v>
      </c>
      <c r="D48" s="79">
        <f>SUM(D46:D47)</f>
        <v>-39227</v>
      </c>
      <c r="E48" s="79">
        <f>D48-C48</f>
        <v>168636</v>
      </c>
      <c r="F48" s="80">
        <f>IF(C48=0,0,E48/C48)</f>
        <v>-0.81128435556111478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-4613737</v>
      </c>
      <c r="D50" s="79">
        <f>D43+D48</f>
        <v>752203</v>
      </c>
      <c r="E50" s="79">
        <f>D50-C50</f>
        <v>5365940</v>
      </c>
      <c r="F50" s="80">
        <f>IF(C50=0,0,E50/C50)</f>
        <v>-1.1630355176292018</v>
      </c>
    </row>
    <row r="51" spans="1:6" ht="23.1" customHeight="1" x14ac:dyDescent="0.2">
      <c r="A51" s="85"/>
      <c r="B51" s="75" t="s">
        <v>104</v>
      </c>
      <c r="C51" s="76">
        <v>1</v>
      </c>
      <c r="D51" s="76">
        <v>1</v>
      </c>
      <c r="E51" s="76">
        <f>D51-C51</f>
        <v>0</v>
      </c>
      <c r="F51" s="77">
        <f>IF(C51=0,0,E51/C51)</f>
        <v>0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1" orientation="portrait" horizontalDpi="1200" verticalDpi="1200" r:id="rId1"/>
  <headerFooter>
    <oddHeader>&amp;LOFFICE OF HEALTH CARE ACCESS&amp;CTWELVE MONTHS ACTUAL FILING&amp;RMILFORD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46762527</v>
      </c>
      <c r="D14" s="113">
        <v>48492147</v>
      </c>
      <c r="E14" s="113">
        <f t="shared" ref="E14:E25" si="0">D14-C14</f>
        <v>1729620</v>
      </c>
      <c r="F14" s="114">
        <f t="shared" ref="F14:F25" si="1">IF(C14=0,0,E14/C14)</f>
        <v>3.6987308235074637E-2</v>
      </c>
    </row>
    <row r="15" spans="1:6" x14ac:dyDescent="0.2">
      <c r="A15" s="115">
        <v>2</v>
      </c>
      <c r="B15" s="116" t="s">
        <v>114</v>
      </c>
      <c r="C15" s="113">
        <v>21390161</v>
      </c>
      <c r="D15" s="113">
        <v>21701179</v>
      </c>
      <c r="E15" s="113">
        <f t="shared" si="0"/>
        <v>311018</v>
      </c>
      <c r="F15" s="114">
        <f t="shared" si="1"/>
        <v>1.4540236513413808E-2</v>
      </c>
    </row>
    <row r="16" spans="1:6" x14ac:dyDescent="0.2">
      <c r="A16" s="115">
        <v>3</v>
      </c>
      <c r="B16" s="116" t="s">
        <v>115</v>
      </c>
      <c r="C16" s="113">
        <v>7962245</v>
      </c>
      <c r="D16" s="113">
        <v>7791203</v>
      </c>
      <c r="E16" s="113">
        <f t="shared" si="0"/>
        <v>-171042</v>
      </c>
      <c r="F16" s="114">
        <f t="shared" si="1"/>
        <v>-2.1481629866953351E-2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0</v>
      </c>
      <c r="D18" s="113">
        <v>19106</v>
      </c>
      <c r="E18" s="113">
        <f t="shared" si="0"/>
        <v>19106</v>
      </c>
      <c r="F18" s="114">
        <f t="shared" si="1"/>
        <v>0</v>
      </c>
    </row>
    <row r="19" spans="1:6" x14ac:dyDescent="0.2">
      <c r="A19" s="115">
        <v>6</v>
      </c>
      <c r="B19" s="116" t="s">
        <v>118</v>
      </c>
      <c r="C19" s="113">
        <v>0</v>
      </c>
      <c r="D19" s="113">
        <v>0</v>
      </c>
      <c r="E19" s="113">
        <f t="shared" si="0"/>
        <v>0</v>
      </c>
      <c r="F19" s="114">
        <f t="shared" si="1"/>
        <v>0</v>
      </c>
    </row>
    <row r="20" spans="1:6" x14ac:dyDescent="0.2">
      <c r="A20" s="115">
        <v>7</v>
      </c>
      <c r="B20" s="116" t="s">
        <v>119</v>
      </c>
      <c r="C20" s="113">
        <v>28264387</v>
      </c>
      <c r="D20" s="113">
        <v>29085694</v>
      </c>
      <c r="E20" s="113">
        <f t="shared" si="0"/>
        <v>821307</v>
      </c>
      <c r="F20" s="114">
        <f t="shared" si="1"/>
        <v>2.9058015657654278E-2</v>
      </c>
    </row>
    <row r="21" spans="1:6" x14ac:dyDescent="0.2">
      <c r="A21" s="115">
        <v>8</v>
      </c>
      <c r="B21" s="116" t="s">
        <v>120</v>
      </c>
      <c r="C21" s="113">
        <v>524200</v>
      </c>
      <c r="D21" s="113">
        <v>736217</v>
      </c>
      <c r="E21" s="113">
        <f t="shared" si="0"/>
        <v>212017</v>
      </c>
      <c r="F21" s="114">
        <f t="shared" si="1"/>
        <v>0.40445822205265164</v>
      </c>
    </row>
    <row r="22" spans="1:6" x14ac:dyDescent="0.2">
      <c r="A22" s="115">
        <v>9</v>
      </c>
      <c r="B22" s="116" t="s">
        <v>121</v>
      </c>
      <c r="C22" s="113">
        <v>758177</v>
      </c>
      <c r="D22" s="113">
        <v>605694</v>
      </c>
      <c r="E22" s="113">
        <f t="shared" si="0"/>
        <v>-152483</v>
      </c>
      <c r="F22" s="114">
        <f t="shared" si="1"/>
        <v>-0.20111794475432518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138845</v>
      </c>
      <c r="D24" s="113">
        <v>148311</v>
      </c>
      <c r="E24" s="113">
        <f t="shared" si="0"/>
        <v>9466</v>
      </c>
      <c r="F24" s="114">
        <f t="shared" si="1"/>
        <v>6.8176743851056931E-2</v>
      </c>
    </row>
    <row r="25" spans="1:6" ht="15.75" x14ac:dyDescent="0.25">
      <c r="A25" s="117"/>
      <c r="B25" s="118" t="s">
        <v>124</v>
      </c>
      <c r="C25" s="119">
        <f>SUM(C14:C24)</f>
        <v>105800542</v>
      </c>
      <c r="D25" s="119">
        <f>SUM(D14:D24)</f>
        <v>108579551</v>
      </c>
      <c r="E25" s="119">
        <f t="shared" si="0"/>
        <v>2779009</v>
      </c>
      <c r="F25" s="120">
        <f t="shared" si="1"/>
        <v>2.6266491148977288E-2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23519730</v>
      </c>
      <c r="D27" s="113">
        <v>24207461</v>
      </c>
      <c r="E27" s="113">
        <f t="shared" ref="E27:E38" si="2">D27-C27</f>
        <v>687731</v>
      </c>
      <c r="F27" s="114">
        <f t="shared" ref="F27:F38" si="3">IF(C27=0,0,E27/C27)</f>
        <v>2.924059927558692E-2</v>
      </c>
    </row>
    <row r="28" spans="1:6" x14ac:dyDescent="0.2">
      <c r="A28" s="115">
        <v>2</v>
      </c>
      <c r="B28" s="116" t="s">
        <v>114</v>
      </c>
      <c r="C28" s="113">
        <v>11404805</v>
      </c>
      <c r="D28" s="113">
        <v>11654636</v>
      </c>
      <c r="E28" s="113">
        <f t="shared" si="2"/>
        <v>249831</v>
      </c>
      <c r="F28" s="114">
        <f t="shared" si="3"/>
        <v>2.1905766911402693E-2</v>
      </c>
    </row>
    <row r="29" spans="1:6" x14ac:dyDescent="0.2">
      <c r="A29" s="115">
        <v>3</v>
      </c>
      <c r="B29" s="116" t="s">
        <v>115</v>
      </c>
      <c r="C29" s="113">
        <v>18535877</v>
      </c>
      <c r="D29" s="113">
        <v>18369635</v>
      </c>
      <c r="E29" s="113">
        <f t="shared" si="2"/>
        <v>-166242</v>
      </c>
      <c r="F29" s="114">
        <f t="shared" si="3"/>
        <v>-8.9686611537182735E-3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139543</v>
      </c>
      <c r="D31" s="113">
        <v>184061</v>
      </c>
      <c r="E31" s="113">
        <f t="shared" si="2"/>
        <v>44518</v>
      </c>
      <c r="F31" s="114">
        <f t="shared" si="3"/>
        <v>0.31902710992310612</v>
      </c>
    </row>
    <row r="32" spans="1:6" x14ac:dyDescent="0.2">
      <c r="A32" s="115">
        <v>6</v>
      </c>
      <c r="B32" s="116" t="s">
        <v>118</v>
      </c>
      <c r="C32" s="113">
        <v>0</v>
      </c>
      <c r="D32" s="113">
        <v>0</v>
      </c>
      <c r="E32" s="113">
        <f t="shared" si="2"/>
        <v>0</v>
      </c>
      <c r="F32" s="114">
        <f t="shared" si="3"/>
        <v>0</v>
      </c>
    </row>
    <row r="33" spans="1:6" x14ac:dyDescent="0.2">
      <c r="A33" s="115">
        <v>7</v>
      </c>
      <c r="B33" s="116" t="s">
        <v>119</v>
      </c>
      <c r="C33" s="113">
        <v>36789159</v>
      </c>
      <c r="D33" s="113">
        <v>38881432</v>
      </c>
      <c r="E33" s="113">
        <f t="shared" si="2"/>
        <v>2092273</v>
      </c>
      <c r="F33" s="114">
        <f t="shared" si="3"/>
        <v>5.6871998623290086E-2</v>
      </c>
    </row>
    <row r="34" spans="1:6" x14ac:dyDescent="0.2">
      <c r="A34" s="115">
        <v>8</v>
      </c>
      <c r="B34" s="116" t="s">
        <v>120</v>
      </c>
      <c r="C34" s="113">
        <v>978472</v>
      </c>
      <c r="D34" s="113">
        <v>1088819</v>
      </c>
      <c r="E34" s="113">
        <f t="shared" si="2"/>
        <v>110347</v>
      </c>
      <c r="F34" s="114">
        <f t="shared" si="3"/>
        <v>0.11277481624410306</v>
      </c>
    </row>
    <row r="35" spans="1:6" x14ac:dyDescent="0.2">
      <c r="A35" s="115">
        <v>9</v>
      </c>
      <c r="B35" s="116" t="s">
        <v>121</v>
      </c>
      <c r="C35" s="113">
        <v>3899766</v>
      </c>
      <c r="D35" s="113">
        <v>4578715</v>
      </c>
      <c r="E35" s="113">
        <f t="shared" si="2"/>
        <v>678949</v>
      </c>
      <c r="F35" s="114">
        <f t="shared" si="3"/>
        <v>0.1740999331754777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177944</v>
      </c>
      <c r="D37" s="113">
        <v>228810</v>
      </c>
      <c r="E37" s="113">
        <f t="shared" si="2"/>
        <v>50866</v>
      </c>
      <c r="F37" s="114">
        <f t="shared" si="3"/>
        <v>0.28585397653194261</v>
      </c>
    </row>
    <row r="38" spans="1:6" ht="15.75" x14ac:dyDescent="0.25">
      <c r="A38" s="117"/>
      <c r="B38" s="118" t="s">
        <v>126</v>
      </c>
      <c r="C38" s="119">
        <f>SUM(C27:C37)</f>
        <v>95445296</v>
      </c>
      <c r="D38" s="119">
        <f>SUM(D27:D37)</f>
        <v>99193569</v>
      </c>
      <c r="E38" s="119">
        <f t="shared" si="2"/>
        <v>3748273</v>
      </c>
      <c r="F38" s="120">
        <f t="shared" si="3"/>
        <v>3.9271427268662881E-2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70282257</v>
      </c>
      <c r="D41" s="119">
        <f t="shared" si="4"/>
        <v>72699608</v>
      </c>
      <c r="E41" s="123">
        <f t="shared" ref="E41:E52" si="5">D41-C41</f>
        <v>2417351</v>
      </c>
      <c r="F41" s="124">
        <f t="shared" ref="F41:F52" si="6">IF(C41=0,0,E41/C41)</f>
        <v>3.4394897135986965E-2</v>
      </c>
    </row>
    <row r="42" spans="1:6" ht="15.75" x14ac:dyDescent="0.25">
      <c r="A42" s="121">
        <v>2</v>
      </c>
      <c r="B42" s="122" t="s">
        <v>114</v>
      </c>
      <c r="C42" s="119">
        <f t="shared" si="4"/>
        <v>32794966</v>
      </c>
      <c r="D42" s="119">
        <f t="shared" si="4"/>
        <v>33355815</v>
      </c>
      <c r="E42" s="123">
        <f t="shared" si="5"/>
        <v>560849</v>
      </c>
      <c r="F42" s="124">
        <f t="shared" si="6"/>
        <v>1.7101679568748449E-2</v>
      </c>
    </row>
    <row r="43" spans="1:6" ht="15.75" x14ac:dyDescent="0.25">
      <c r="A43" s="121">
        <v>3</v>
      </c>
      <c r="B43" s="122" t="s">
        <v>115</v>
      </c>
      <c r="C43" s="119">
        <f t="shared" si="4"/>
        <v>26498122</v>
      </c>
      <c r="D43" s="119">
        <f t="shared" si="4"/>
        <v>26160838</v>
      </c>
      <c r="E43" s="123">
        <f t="shared" si="5"/>
        <v>-337284</v>
      </c>
      <c r="F43" s="124">
        <f t="shared" si="6"/>
        <v>-1.2728600162683228E-2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139543</v>
      </c>
      <c r="D45" s="119">
        <f t="shared" si="4"/>
        <v>203167</v>
      </c>
      <c r="E45" s="123">
        <f t="shared" si="5"/>
        <v>63624</v>
      </c>
      <c r="F45" s="124">
        <f t="shared" si="6"/>
        <v>0.45594547917129485</v>
      </c>
    </row>
    <row r="46" spans="1:6" ht="15.75" x14ac:dyDescent="0.25">
      <c r="A46" s="121">
        <v>6</v>
      </c>
      <c r="B46" s="122" t="s">
        <v>118</v>
      </c>
      <c r="C46" s="119">
        <f t="shared" si="4"/>
        <v>0</v>
      </c>
      <c r="D46" s="119">
        <f t="shared" si="4"/>
        <v>0</v>
      </c>
      <c r="E46" s="123">
        <f t="shared" si="5"/>
        <v>0</v>
      </c>
      <c r="F46" s="124">
        <f t="shared" si="6"/>
        <v>0</v>
      </c>
    </row>
    <row r="47" spans="1:6" ht="15.75" x14ac:dyDescent="0.25">
      <c r="A47" s="121">
        <v>7</v>
      </c>
      <c r="B47" s="122" t="s">
        <v>119</v>
      </c>
      <c r="C47" s="119">
        <f t="shared" si="4"/>
        <v>65053546</v>
      </c>
      <c r="D47" s="119">
        <f t="shared" si="4"/>
        <v>67967126</v>
      </c>
      <c r="E47" s="123">
        <f t="shared" si="5"/>
        <v>2913580</v>
      </c>
      <c r="F47" s="124">
        <f t="shared" si="6"/>
        <v>4.4787412510918313E-2</v>
      </c>
    </row>
    <row r="48" spans="1:6" ht="15.75" x14ac:dyDescent="0.25">
      <c r="A48" s="121">
        <v>8</v>
      </c>
      <c r="B48" s="122" t="s">
        <v>120</v>
      </c>
      <c r="C48" s="119">
        <f t="shared" si="4"/>
        <v>1502672</v>
      </c>
      <c r="D48" s="119">
        <f t="shared" si="4"/>
        <v>1825036</v>
      </c>
      <c r="E48" s="123">
        <f t="shared" si="5"/>
        <v>322364</v>
      </c>
      <c r="F48" s="124">
        <f t="shared" si="6"/>
        <v>0.21452718890083797</v>
      </c>
    </row>
    <row r="49" spans="1:6" ht="15.75" x14ac:dyDescent="0.25">
      <c r="A49" s="121">
        <v>9</v>
      </c>
      <c r="B49" s="122" t="s">
        <v>121</v>
      </c>
      <c r="C49" s="119">
        <f t="shared" si="4"/>
        <v>4657943</v>
      </c>
      <c r="D49" s="119">
        <f t="shared" si="4"/>
        <v>5184409</v>
      </c>
      <c r="E49" s="123">
        <f t="shared" si="5"/>
        <v>526466</v>
      </c>
      <c r="F49" s="124">
        <f t="shared" si="6"/>
        <v>0.11302542774782774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316789</v>
      </c>
      <c r="D51" s="119">
        <f t="shared" si="4"/>
        <v>377121</v>
      </c>
      <c r="E51" s="123">
        <f t="shared" si="5"/>
        <v>60332</v>
      </c>
      <c r="F51" s="124">
        <f t="shared" si="6"/>
        <v>0.19044853198816877</v>
      </c>
    </row>
    <row r="52" spans="1:6" ht="18.75" customHeight="1" thickBot="1" x14ac:dyDescent="0.3">
      <c r="A52" s="125"/>
      <c r="B52" s="126" t="s">
        <v>128</v>
      </c>
      <c r="C52" s="127">
        <f>SUM(C41:C51)</f>
        <v>201245838</v>
      </c>
      <c r="D52" s="128">
        <f>SUM(D41:D51)</f>
        <v>207773120</v>
      </c>
      <c r="E52" s="127">
        <f t="shared" si="5"/>
        <v>6527282</v>
      </c>
      <c r="F52" s="129">
        <f t="shared" si="6"/>
        <v>3.2434370145831289E-2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13083835</v>
      </c>
      <c r="D57" s="113">
        <v>13745449</v>
      </c>
      <c r="E57" s="113">
        <f t="shared" ref="E57:E68" si="7">D57-C57</f>
        <v>661614</v>
      </c>
      <c r="F57" s="114">
        <f t="shared" ref="F57:F68" si="8">IF(C57=0,0,E57/C57)</f>
        <v>5.0567283980576035E-2</v>
      </c>
    </row>
    <row r="58" spans="1:6" x14ac:dyDescent="0.2">
      <c r="A58" s="115">
        <v>2</v>
      </c>
      <c r="B58" s="116" t="s">
        <v>114</v>
      </c>
      <c r="C58" s="113">
        <v>5958792</v>
      </c>
      <c r="D58" s="113">
        <v>6123794</v>
      </c>
      <c r="E58" s="113">
        <f t="shared" si="7"/>
        <v>165002</v>
      </c>
      <c r="F58" s="114">
        <f t="shared" si="8"/>
        <v>2.7690511768157035E-2</v>
      </c>
    </row>
    <row r="59" spans="1:6" x14ac:dyDescent="0.2">
      <c r="A59" s="115">
        <v>3</v>
      </c>
      <c r="B59" s="116" t="s">
        <v>115</v>
      </c>
      <c r="C59" s="113">
        <v>1391159</v>
      </c>
      <c r="D59" s="113">
        <v>1350019</v>
      </c>
      <c r="E59" s="113">
        <f t="shared" si="7"/>
        <v>-41140</v>
      </c>
      <c r="F59" s="114">
        <f t="shared" si="8"/>
        <v>-2.9572464398390119E-2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0</v>
      </c>
      <c r="D61" s="113">
        <v>12304</v>
      </c>
      <c r="E61" s="113">
        <f t="shared" si="7"/>
        <v>12304</v>
      </c>
      <c r="F61" s="114">
        <f t="shared" si="8"/>
        <v>0</v>
      </c>
    </row>
    <row r="62" spans="1:6" x14ac:dyDescent="0.2">
      <c r="A62" s="115">
        <v>6</v>
      </c>
      <c r="B62" s="116" t="s">
        <v>118</v>
      </c>
      <c r="C62" s="113">
        <v>0</v>
      </c>
      <c r="D62" s="113">
        <v>0</v>
      </c>
      <c r="E62" s="113">
        <f t="shared" si="7"/>
        <v>0</v>
      </c>
      <c r="F62" s="114">
        <f t="shared" si="8"/>
        <v>0</v>
      </c>
    </row>
    <row r="63" spans="1:6" x14ac:dyDescent="0.2">
      <c r="A63" s="115">
        <v>7</v>
      </c>
      <c r="B63" s="116" t="s">
        <v>119</v>
      </c>
      <c r="C63" s="113">
        <v>11213003</v>
      </c>
      <c r="D63" s="113">
        <v>10460217</v>
      </c>
      <c r="E63" s="113">
        <f t="shared" si="7"/>
        <v>-752786</v>
      </c>
      <c r="F63" s="114">
        <f t="shared" si="8"/>
        <v>-6.7135093070072302E-2</v>
      </c>
    </row>
    <row r="64" spans="1:6" x14ac:dyDescent="0.2">
      <c r="A64" s="115">
        <v>8</v>
      </c>
      <c r="B64" s="116" t="s">
        <v>120</v>
      </c>
      <c r="C64" s="113">
        <v>257527</v>
      </c>
      <c r="D64" s="113">
        <v>566893</v>
      </c>
      <c r="E64" s="113">
        <f t="shared" si="7"/>
        <v>309366</v>
      </c>
      <c r="F64" s="114">
        <f t="shared" si="8"/>
        <v>1.2012953981524268</v>
      </c>
    </row>
    <row r="65" spans="1:6" x14ac:dyDescent="0.2">
      <c r="A65" s="115">
        <v>9</v>
      </c>
      <c r="B65" s="116" t="s">
        <v>121</v>
      </c>
      <c r="C65" s="113">
        <v>75818</v>
      </c>
      <c r="D65" s="113">
        <v>55814</v>
      </c>
      <c r="E65" s="113">
        <f t="shared" si="7"/>
        <v>-20004</v>
      </c>
      <c r="F65" s="114">
        <f t="shared" si="8"/>
        <v>-0.26384235933419503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36215</v>
      </c>
      <c r="D67" s="113">
        <v>71959</v>
      </c>
      <c r="E67" s="113">
        <f t="shared" si="7"/>
        <v>35744</v>
      </c>
      <c r="F67" s="114">
        <f t="shared" si="8"/>
        <v>0.98699433936214276</v>
      </c>
    </row>
    <row r="68" spans="1:6" ht="15.75" x14ac:dyDescent="0.25">
      <c r="A68" s="117"/>
      <c r="B68" s="118" t="s">
        <v>131</v>
      </c>
      <c r="C68" s="119">
        <f>SUM(C57:C67)</f>
        <v>32016349</v>
      </c>
      <c r="D68" s="119">
        <f>SUM(D57:D67)</f>
        <v>32386449</v>
      </c>
      <c r="E68" s="119">
        <f t="shared" si="7"/>
        <v>370100</v>
      </c>
      <c r="F68" s="120">
        <f t="shared" si="8"/>
        <v>1.1559719067280282E-2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5318625</v>
      </c>
      <c r="D70" s="113">
        <v>5214108</v>
      </c>
      <c r="E70" s="113">
        <f t="shared" ref="E70:E81" si="9">D70-C70</f>
        <v>-104517</v>
      </c>
      <c r="F70" s="114">
        <f t="shared" ref="F70:F81" si="10">IF(C70=0,0,E70/C70)</f>
        <v>-1.9651131636466191E-2</v>
      </c>
    </row>
    <row r="71" spans="1:6" x14ac:dyDescent="0.2">
      <c r="A71" s="115">
        <v>2</v>
      </c>
      <c r="B71" s="116" t="s">
        <v>114</v>
      </c>
      <c r="C71" s="113">
        <v>2459276</v>
      </c>
      <c r="D71" s="113">
        <v>2337712</v>
      </c>
      <c r="E71" s="113">
        <f t="shared" si="9"/>
        <v>-121564</v>
      </c>
      <c r="F71" s="114">
        <f t="shared" si="10"/>
        <v>-4.9430808091487088E-2</v>
      </c>
    </row>
    <row r="72" spans="1:6" x14ac:dyDescent="0.2">
      <c r="A72" s="115">
        <v>3</v>
      </c>
      <c r="B72" s="116" t="s">
        <v>115</v>
      </c>
      <c r="C72" s="113">
        <v>5019976</v>
      </c>
      <c r="D72" s="113">
        <v>4285321</v>
      </c>
      <c r="E72" s="113">
        <f t="shared" si="9"/>
        <v>-734655</v>
      </c>
      <c r="F72" s="114">
        <f t="shared" si="10"/>
        <v>-0.14634631719354835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38199</v>
      </c>
      <c r="D74" s="113">
        <v>57243</v>
      </c>
      <c r="E74" s="113">
        <f t="shared" si="9"/>
        <v>19044</v>
      </c>
      <c r="F74" s="114">
        <f t="shared" si="10"/>
        <v>0.49854708238435563</v>
      </c>
    </row>
    <row r="75" spans="1:6" x14ac:dyDescent="0.2">
      <c r="A75" s="115">
        <v>6</v>
      </c>
      <c r="B75" s="116" t="s">
        <v>118</v>
      </c>
      <c r="C75" s="113">
        <v>0</v>
      </c>
      <c r="D75" s="113">
        <v>0</v>
      </c>
      <c r="E75" s="113">
        <f t="shared" si="9"/>
        <v>0</v>
      </c>
      <c r="F75" s="114">
        <f t="shared" si="10"/>
        <v>0</v>
      </c>
    </row>
    <row r="76" spans="1:6" x14ac:dyDescent="0.2">
      <c r="A76" s="115">
        <v>7</v>
      </c>
      <c r="B76" s="116" t="s">
        <v>119</v>
      </c>
      <c r="C76" s="113">
        <v>16246705</v>
      </c>
      <c r="D76" s="113">
        <v>17372332</v>
      </c>
      <c r="E76" s="113">
        <f t="shared" si="9"/>
        <v>1125627</v>
      </c>
      <c r="F76" s="114">
        <f t="shared" si="10"/>
        <v>6.9283402388361212E-2</v>
      </c>
    </row>
    <row r="77" spans="1:6" x14ac:dyDescent="0.2">
      <c r="A77" s="115">
        <v>8</v>
      </c>
      <c r="B77" s="116" t="s">
        <v>120</v>
      </c>
      <c r="C77" s="113">
        <v>643033</v>
      </c>
      <c r="D77" s="113">
        <v>658469</v>
      </c>
      <c r="E77" s="113">
        <f t="shared" si="9"/>
        <v>15436</v>
      </c>
      <c r="F77" s="114">
        <f t="shared" si="10"/>
        <v>2.400498885749254E-2</v>
      </c>
    </row>
    <row r="78" spans="1:6" x14ac:dyDescent="0.2">
      <c r="A78" s="115">
        <v>9</v>
      </c>
      <c r="B78" s="116" t="s">
        <v>121</v>
      </c>
      <c r="C78" s="113">
        <v>389977</v>
      </c>
      <c r="D78" s="113">
        <v>444186</v>
      </c>
      <c r="E78" s="113">
        <f t="shared" si="9"/>
        <v>54209</v>
      </c>
      <c r="F78" s="114">
        <f t="shared" si="10"/>
        <v>0.13900563366557514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36804</v>
      </c>
      <c r="D80" s="113">
        <v>97122</v>
      </c>
      <c r="E80" s="113">
        <f t="shared" si="9"/>
        <v>60318</v>
      </c>
      <c r="F80" s="114">
        <f t="shared" si="10"/>
        <v>1.6388979458754482</v>
      </c>
    </row>
    <row r="81" spans="1:6" ht="15.75" x14ac:dyDescent="0.25">
      <c r="A81" s="117"/>
      <c r="B81" s="118" t="s">
        <v>133</v>
      </c>
      <c r="C81" s="119">
        <f>SUM(C70:C80)</f>
        <v>30152595</v>
      </c>
      <c r="D81" s="119">
        <f>SUM(D70:D80)</f>
        <v>30466493</v>
      </c>
      <c r="E81" s="119">
        <f t="shared" si="9"/>
        <v>313898</v>
      </c>
      <c r="F81" s="120">
        <f t="shared" si="10"/>
        <v>1.0410314601446409E-2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18402460</v>
      </c>
      <c r="D84" s="119">
        <f t="shared" si="11"/>
        <v>18959557</v>
      </c>
      <c r="E84" s="119">
        <f t="shared" ref="E84:E95" si="12">D84-C84</f>
        <v>557097</v>
      </c>
      <c r="F84" s="120">
        <f t="shared" ref="F84:F95" si="13">IF(C84=0,0,E84/C84)</f>
        <v>3.027296350596605E-2</v>
      </c>
    </row>
    <row r="85" spans="1:6" ht="15.75" x14ac:dyDescent="0.25">
      <c r="A85" s="130">
        <v>2</v>
      </c>
      <c r="B85" s="122" t="s">
        <v>114</v>
      </c>
      <c r="C85" s="119">
        <f t="shared" si="11"/>
        <v>8418068</v>
      </c>
      <c r="D85" s="119">
        <f t="shared" si="11"/>
        <v>8461506</v>
      </c>
      <c r="E85" s="119">
        <f t="shared" si="12"/>
        <v>43438</v>
      </c>
      <c r="F85" s="120">
        <f t="shared" si="13"/>
        <v>5.1600913653821754E-3</v>
      </c>
    </row>
    <row r="86" spans="1:6" ht="15.75" x14ac:dyDescent="0.25">
      <c r="A86" s="130">
        <v>3</v>
      </c>
      <c r="B86" s="122" t="s">
        <v>115</v>
      </c>
      <c r="C86" s="119">
        <f t="shared" si="11"/>
        <v>6411135</v>
      </c>
      <c r="D86" s="119">
        <f t="shared" si="11"/>
        <v>5635340</v>
      </c>
      <c r="E86" s="119">
        <f t="shared" si="12"/>
        <v>-775795</v>
      </c>
      <c r="F86" s="120">
        <f t="shared" si="13"/>
        <v>-0.12100743472099713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38199</v>
      </c>
      <c r="D88" s="119">
        <f t="shared" si="11"/>
        <v>69547</v>
      </c>
      <c r="E88" s="119">
        <f t="shared" si="12"/>
        <v>31348</v>
      </c>
      <c r="F88" s="120">
        <f t="shared" si="13"/>
        <v>0.82064975522919448</v>
      </c>
    </row>
    <row r="89" spans="1:6" ht="15.75" x14ac:dyDescent="0.25">
      <c r="A89" s="130">
        <v>6</v>
      </c>
      <c r="B89" s="122" t="s">
        <v>118</v>
      </c>
      <c r="C89" s="119">
        <f t="shared" si="11"/>
        <v>0</v>
      </c>
      <c r="D89" s="119">
        <f t="shared" si="11"/>
        <v>0</v>
      </c>
      <c r="E89" s="119">
        <f t="shared" si="12"/>
        <v>0</v>
      </c>
      <c r="F89" s="120">
        <f t="shared" si="13"/>
        <v>0</v>
      </c>
    </row>
    <row r="90" spans="1:6" ht="15.75" x14ac:dyDescent="0.25">
      <c r="A90" s="130">
        <v>7</v>
      </c>
      <c r="B90" s="122" t="s">
        <v>119</v>
      </c>
      <c r="C90" s="119">
        <f t="shared" si="11"/>
        <v>27459708</v>
      </c>
      <c r="D90" s="119">
        <f t="shared" si="11"/>
        <v>27832549</v>
      </c>
      <c r="E90" s="119">
        <f t="shared" si="12"/>
        <v>372841</v>
      </c>
      <c r="F90" s="120">
        <f t="shared" si="13"/>
        <v>1.3577748168334493E-2</v>
      </c>
    </row>
    <row r="91" spans="1:6" ht="15.75" x14ac:dyDescent="0.25">
      <c r="A91" s="130">
        <v>8</v>
      </c>
      <c r="B91" s="122" t="s">
        <v>120</v>
      </c>
      <c r="C91" s="119">
        <f t="shared" si="11"/>
        <v>900560</v>
      </c>
      <c r="D91" s="119">
        <f t="shared" si="11"/>
        <v>1225362</v>
      </c>
      <c r="E91" s="119">
        <f t="shared" si="12"/>
        <v>324802</v>
      </c>
      <c r="F91" s="120">
        <f t="shared" si="13"/>
        <v>0.36066669627787157</v>
      </c>
    </row>
    <row r="92" spans="1:6" ht="15.75" x14ac:dyDescent="0.25">
      <c r="A92" s="130">
        <v>9</v>
      </c>
      <c r="B92" s="122" t="s">
        <v>121</v>
      </c>
      <c r="C92" s="119">
        <f t="shared" si="11"/>
        <v>465795</v>
      </c>
      <c r="D92" s="119">
        <f t="shared" si="11"/>
        <v>500000</v>
      </c>
      <c r="E92" s="119">
        <f t="shared" si="12"/>
        <v>34205</v>
      </c>
      <c r="F92" s="120">
        <f t="shared" si="13"/>
        <v>7.3433592030829012E-2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73019</v>
      </c>
      <c r="D94" s="119">
        <f t="shared" si="11"/>
        <v>169081</v>
      </c>
      <c r="E94" s="119">
        <f t="shared" si="12"/>
        <v>96062</v>
      </c>
      <c r="F94" s="120">
        <f t="shared" si="13"/>
        <v>1.3155753981840344</v>
      </c>
    </row>
    <row r="95" spans="1:6" ht="18.75" customHeight="1" thickBot="1" x14ac:dyDescent="0.3">
      <c r="A95" s="131"/>
      <c r="B95" s="132" t="s">
        <v>134</v>
      </c>
      <c r="C95" s="128">
        <f>SUM(C84:C94)</f>
        <v>62168944</v>
      </c>
      <c r="D95" s="128">
        <f>SUM(D84:D94)</f>
        <v>62852942</v>
      </c>
      <c r="E95" s="128">
        <f t="shared" si="12"/>
        <v>683998</v>
      </c>
      <c r="F95" s="129">
        <f t="shared" si="13"/>
        <v>1.1002245751512202E-2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1328</v>
      </c>
      <c r="D100" s="133">
        <v>1227</v>
      </c>
      <c r="E100" s="133">
        <f t="shared" ref="E100:E111" si="14">D100-C100</f>
        <v>-101</v>
      </c>
      <c r="F100" s="114">
        <f t="shared" ref="F100:F111" si="15">IF(C100=0,0,E100/C100)</f>
        <v>-7.6054216867469882E-2</v>
      </c>
    </row>
    <row r="101" spans="1:6" x14ac:dyDescent="0.2">
      <c r="A101" s="115">
        <v>2</v>
      </c>
      <c r="B101" s="116" t="s">
        <v>114</v>
      </c>
      <c r="C101" s="133">
        <v>613</v>
      </c>
      <c r="D101" s="133">
        <v>562</v>
      </c>
      <c r="E101" s="133">
        <f t="shared" si="14"/>
        <v>-51</v>
      </c>
      <c r="F101" s="114">
        <f t="shared" si="15"/>
        <v>-8.3197389885807507E-2</v>
      </c>
    </row>
    <row r="102" spans="1:6" x14ac:dyDescent="0.2">
      <c r="A102" s="115">
        <v>3</v>
      </c>
      <c r="B102" s="116" t="s">
        <v>115</v>
      </c>
      <c r="C102" s="133">
        <v>323</v>
      </c>
      <c r="D102" s="133">
        <v>255</v>
      </c>
      <c r="E102" s="133">
        <f t="shared" si="14"/>
        <v>-68</v>
      </c>
      <c r="F102" s="114">
        <f t="shared" si="15"/>
        <v>-0.21052631578947367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0</v>
      </c>
      <c r="D104" s="133">
        <v>1</v>
      </c>
      <c r="E104" s="133">
        <f t="shared" si="14"/>
        <v>1</v>
      </c>
      <c r="F104" s="114">
        <f t="shared" si="15"/>
        <v>0</v>
      </c>
    </row>
    <row r="105" spans="1:6" x14ac:dyDescent="0.2">
      <c r="A105" s="115">
        <v>6</v>
      </c>
      <c r="B105" s="116" t="s">
        <v>118</v>
      </c>
      <c r="C105" s="133">
        <v>0</v>
      </c>
      <c r="D105" s="133">
        <v>0</v>
      </c>
      <c r="E105" s="133">
        <f t="shared" si="14"/>
        <v>0</v>
      </c>
      <c r="F105" s="114">
        <f t="shared" si="15"/>
        <v>0</v>
      </c>
    </row>
    <row r="106" spans="1:6" x14ac:dyDescent="0.2">
      <c r="A106" s="115">
        <v>7</v>
      </c>
      <c r="B106" s="116" t="s">
        <v>119</v>
      </c>
      <c r="C106" s="133">
        <v>887</v>
      </c>
      <c r="D106" s="133">
        <v>791</v>
      </c>
      <c r="E106" s="133">
        <f t="shared" si="14"/>
        <v>-96</v>
      </c>
      <c r="F106" s="114">
        <f t="shared" si="15"/>
        <v>-0.10822998872604284</v>
      </c>
    </row>
    <row r="107" spans="1:6" x14ac:dyDescent="0.2">
      <c r="A107" s="115">
        <v>8</v>
      </c>
      <c r="B107" s="116" t="s">
        <v>120</v>
      </c>
      <c r="C107" s="133">
        <v>12</v>
      </c>
      <c r="D107" s="133">
        <v>13</v>
      </c>
      <c r="E107" s="133">
        <f t="shared" si="14"/>
        <v>1</v>
      </c>
      <c r="F107" s="114">
        <f t="shared" si="15"/>
        <v>8.3333333333333329E-2</v>
      </c>
    </row>
    <row r="108" spans="1:6" x14ac:dyDescent="0.2">
      <c r="A108" s="115">
        <v>9</v>
      </c>
      <c r="B108" s="116" t="s">
        <v>121</v>
      </c>
      <c r="C108" s="133">
        <v>33</v>
      </c>
      <c r="D108" s="133">
        <v>24</v>
      </c>
      <c r="E108" s="133">
        <f t="shared" si="14"/>
        <v>-9</v>
      </c>
      <c r="F108" s="114">
        <f t="shared" si="15"/>
        <v>-0.27272727272727271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5</v>
      </c>
      <c r="D110" s="133">
        <v>7</v>
      </c>
      <c r="E110" s="133">
        <f t="shared" si="14"/>
        <v>2</v>
      </c>
      <c r="F110" s="114">
        <f t="shared" si="15"/>
        <v>0.4</v>
      </c>
    </row>
    <row r="111" spans="1:6" ht="15.75" x14ac:dyDescent="0.25">
      <c r="A111" s="117"/>
      <c r="B111" s="118" t="s">
        <v>138</v>
      </c>
      <c r="C111" s="134">
        <f>SUM(C100:C110)</f>
        <v>3201</v>
      </c>
      <c r="D111" s="134">
        <f>SUM(D100:D110)</f>
        <v>2880</v>
      </c>
      <c r="E111" s="134">
        <f t="shared" si="14"/>
        <v>-321</v>
      </c>
      <c r="F111" s="120">
        <f t="shared" si="15"/>
        <v>-0.10028116213683223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5511</v>
      </c>
      <c r="D113" s="133">
        <v>5196</v>
      </c>
      <c r="E113" s="133">
        <f t="shared" ref="E113:E124" si="16">D113-C113</f>
        <v>-315</v>
      </c>
      <c r="F113" s="114">
        <f t="shared" ref="F113:F124" si="17">IF(C113=0,0,E113/C113)</f>
        <v>-5.7158410451823627E-2</v>
      </c>
    </row>
    <row r="114" spans="1:6" x14ac:dyDescent="0.2">
      <c r="A114" s="115">
        <v>2</v>
      </c>
      <c r="B114" s="116" t="s">
        <v>114</v>
      </c>
      <c r="C114" s="133">
        <v>2580</v>
      </c>
      <c r="D114" s="133">
        <v>2372</v>
      </c>
      <c r="E114" s="133">
        <f t="shared" si="16"/>
        <v>-208</v>
      </c>
      <c r="F114" s="114">
        <f t="shared" si="17"/>
        <v>-8.0620155038759689E-2</v>
      </c>
    </row>
    <row r="115" spans="1:6" x14ac:dyDescent="0.2">
      <c r="A115" s="115">
        <v>3</v>
      </c>
      <c r="B115" s="116" t="s">
        <v>115</v>
      </c>
      <c r="C115" s="133">
        <v>1252</v>
      </c>
      <c r="D115" s="133">
        <v>979</v>
      </c>
      <c r="E115" s="133">
        <f t="shared" si="16"/>
        <v>-273</v>
      </c>
      <c r="F115" s="114">
        <f t="shared" si="17"/>
        <v>-0.21805111821086262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0</v>
      </c>
      <c r="D117" s="133">
        <v>2</v>
      </c>
      <c r="E117" s="133">
        <f t="shared" si="16"/>
        <v>2</v>
      </c>
      <c r="F117" s="114">
        <f t="shared" si="17"/>
        <v>0</v>
      </c>
    </row>
    <row r="118" spans="1:6" x14ac:dyDescent="0.2">
      <c r="A118" s="115">
        <v>6</v>
      </c>
      <c r="B118" s="116" t="s">
        <v>118</v>
      </c>
      <c r="C118" s="133">
        <v>0</v>
      </c>
      <c r="D118" s="133">
        <v>0</v>
      </c>
      <c r="E118" s="133">
        <f t="shared" si="16"/>
        <v>0</v>
      </c>
      <c r="F118" s="114">
        <f t="shared" si="17"/>
        <v>0</v>
      </c>
    </row>
    <row r="119" spans="1:6" x14ac:dyDescent="0.2">
      <c r="A119" s="115">
        <v>7</v>
      </c>
      <c r="B119" s="116" t="s">
        <v>119</v>
      </c>
      <c r="C119" s="133">
        <v>2593</v>
      </c>
      <c r="D119" s="133">
        <v>2391</v>
      </c>
      <c r="E119" s="133">
        <f t="shared" si="16"/>
        <v>-202</v>
      </c>
      <c r="F119" s="114">
        <f t="shared" si="17"/>
        <v>-7.7902043964519857E-2</v>
      </c>
    </row>
    <row r="120" spans="1:6" x14ac:dyDescent="0.2">
      <c r="A120" s="115">
        <v>8</v>
      </c>
      <c r="B120" s="116" t="s">
        <v>120</v>
      </c>
      <c r="C120" s="133">
        <v>51</v>
      </c>
      <c r="D120" s="133">
        <v>30</v>
      </c>
      <c r="E120" s="133">
        <f t="shared" si="16"/>
        <v>-21</v>
      </c>
      <c r="F120" s="114">
        <f t="shared" si="17"/>
        <v>-0.41176470588235292</v>
      </c>
    </row>
    <row r="121" spans="1:6" x14ac:dyDescent="0.2">
      <c r="A121" s="115">
        <v>9</v>
      </c>
      <c r="B121" s="116" t="s">
        <v>121</v>
      </c>
      <c r="C121" s="133">
        <v>101</v>
      </c>
      <c r="D121" s="133">
        <v>79</v>
      </c>
      <c r="E121" s="133">
        <f t="shared" si="16"/>
        <v>-22</v>
      </c>
      <c r="F121" s="114">
        <f t="shared" si="17"/>
        <v>-0.21782178217821782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22</v>
      </c>
      <c r="D123" s="133">
        <v>22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12110</v>
      </c>
      <c r="D124" s="134">
        <f>SUM(D113:D123)</f>
        <v>11071</v>
      </c>
      <c r="E124" s="134">
        <f t="shared" si="16"/>
        <v>-1039</v>
      </c>
      <c r="F124" s="120">
        <f t="shared" si="17"/>
        <v>-8.5796862097440127E-2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8271</v>
      </c>
      <c r="D126" s="133">
        <v>8196</v>
      </c>
      <c r="E126" s="133">
        <f t="shared" ref="E126:E137" si="18">D126-C126</f>
        <v>-75</v>
      </c>
      <c r="F126" s="114">
        <f t="shared" ref="F126:F137" si="19">IF(C126=0,0,E126/C126)</f>
        <v>-9.0678273485672832E-3</v>
      </c>
    </row>
    <row r="127" spans="1:6" x14ac:dyDescent="0.2">
      <c r="A127" s="115">
        <v>2</v>
      </c>
      <c r="B127" s="116" t="s">
        <v>114</v>
      </c>
      <c r="C127" s="133">
        <v>4680</v>
      </c>
      <c r="D127" s="133">
        <v>4592</v>
      </c>
      <c r="E127" s="133">
        <f t="shared" si="18"/>
        <v>-88</v>
      </c>
      <c r="F127" s="114">
        <f t="shared" si="19"/>
        <v>-1.8803418803418803E-2</v>
      </c>
    </row>
    <row r="128" spans="1:6" x14ac:dyDescent="0.2">
      <c r="A128" s="115">
        <v>3</v>
      </c>
      <c r="B128" s="116" t="s">
        <v>115</v>
      </c>
      <c r="C128" s="133">
        <v>10354</v>
      </c>
      <c r="D128" s="133">
        <v>9638</v>
      </c>
      <c r="E128" s="133">
        <f t="shared" si="18"/>
        <v>-716</v>
      </c>
      <c r="F128" s="114">
        <f t="shared" si="19"/>
        <v>-6.9152018543558041E-2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99</v>
      </c>
      <c r="D130" s="133">
        <v>97</v>
      </c>
      <c r="E130" s="133">
        <f t="shared" si="18"/>
        <v>-2</v>
      </c>
      <c r="F130" s="114">
        <f t="shared" si="19"/>
        <v>-2.0202020202020204E-2</v>
      </c>
    </row>
    <row r="131" spans="1:6" x14ac:dyDescent="0.2">
      <c r="A131" s="115">
        <v>6</v>
      </c>
      <c r="B131" s="116" t="s">
        <v>118</v>
      </c>
      <c r="C131" s="133">
        <v>0</v>
      </c>
      <c r="D131" s="133">
        <v>0</v>
      </c>
      <c r="E131" s="133">
        <f t="shared" si="18"/>
        <v>0</v>
      </c>
      <c r="F131" s="114">
        <f t="shared" si="19"/>
        <v>0</v>
      </c>
    </row>
    <row r="132" spans="1:6" x14ac:dyDescent="0.2">
      <c r="A132" s="115">
        <v>7</v>
      </c>
      <c r="B132" s="116" t="s">
        <v>119</v>
      </c>
      <c r="C132" s="133">
        <v>23865</v>
      </c>
      <c r="D132" s="133">
        <v>21659</v>
      </c>
      <c r="E132" s="133">
        <f t="shared" si="18"/>
        <v>-2206</v>
      </c>
      <c r="F132" s="114">
        <f t="shared" si="19"/>
        <v>-9.2436622669180804E-2</v>
      </c>
    </row>
    <row r="133" spans="1:6" x14ac:dyDescent="0.2">
      <c r="A133" s="115">
        <v>8</v>
      </c>
      <c r="B133" s="116" t="s">
        <v>120</v>
      </c>
      <c r="C133" s="133">
        <v>821</v>
      </c>
      <c r="D133" s="133">
        <v>674</v>
      </c>
      <c r="E133" s="133">
        <f t="shared" si="18"/>
        <v>-147</v>
      </c>
      <c r="F133" s="114">
        <f t="shared" si="19"/>
        <v>-0.17904993909866018</v>
      </c>
    </row>
    <row r="134" spans="1:6" x14ac:dyDescent="0.2">
      <c r="A134" s="115">
        <v>9</v>
      </c>
      <c r="B134" s="116" t="s">
        <v>121</v>
      </c>
      <c r="C134" s="133">
        <v>1615</v>
      </c>
      <c r="D134" s="133">
        <v>1695</v>
      </c>
      <c r="E134" s="133">
        <f t="shared" si="18"/>
        <v>80</v>
      </c>
      <c r="F134" s="114">
        <f t="shared" si="19"/>
        <v>4.9535603715170282E-2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124</v>
      </c>
      <c r="D136" s="133">
        <v>127</v>
      </c>
      <c r="E136" s="133">
        <f t="shared" si="18"/>
        <v>3</v>
      </c>
      <c r="F136" s="114">
        <f t="shared" si="19"/>
        <v>2.4193548387096774E-2</v>
      </c>
    </row>
    <row r="137" spans="1:6" ht="15.75" x14ac:dyDescent="0.25">
      <c r="A137" s="117"/>
      <c r="B137" s="118" t="s">
        <v>142</v>
      </c>
      <c r="C137" s="134">
        <f>SUM(C126:C136)</f>
        <v>49829</v>
      </c>
      <c r="D137" s="134">
        <f>SUM(D126:D136)</f>
        <v>46678</v>
      </c>
      <c r="E137" s="134">
        <f t="shared" si="18"/>
        <v>-3151</v>
      </c>
      <c r="F137" s="120">
        <f t="shared" si="19"/>
        <v>-6.3236268036685458E-2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7062198</v>
      </c>
      <c r="D142" s="113">
        <v>8428514</v>
      </c>
      <c r="E142" s="113">
        <f t="shared" ref="E142:E153" si="20">D142-C142</f>
        <v>1366316</v>
      </c>
      <c r="F142" s="114">
        <f t="shared" ref="F142:F153" si="21">IF(C142=0,0,E142/C142)</f>
        <v>0.19346894550393517</v>
      </c>
    </row>
    <row r="143" spans="1:6" x14ac:dyDescent="0.2">
      <c r="A143" s="115">
        <v>2</v>
      </c>
      <c r="B143" s="116" t="s">
        <v>114</v>
      </c>
      <c r="C143" s="113">
        <v>3208323</v>
      </c>
      <c r="D143" s="113">
        <v>4206104</v>
      </c>
      <c r="E143" s="113">
        <f t="shared" si="20"/>
        <v>997781</v>
      </c>
      <c r="F143" s="114">
        <f t="shared" si="21"/>
        <v>0.31099767697953107</v>
      </c>
    </row>
    <row r="144" spans="1:6" x14ac:dyDescent="0.2">
      <c r="A144" s="115">
        <v>3</v>
      </c>
      <c r="B144" s="116" t="s">
        <v>115</v>
      </c>
      <c r="C144" s="113">
        <v>12246235</v>
      </c>
      <c r="D144" s="113">
        <v>11559652</v>
      </c>
      <c r="E144" s="113">
        <f t="shared" si="20"/>
        <v>-686583</v>
      </c>
      <c r="F144" s="114">
        <f t="shared" si="21"/>
        <v>-5.6064823188514676E-2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70913</v>
      </c>
      <c r="D146" s="113">
        <v>79615</v>
      </c>
      <c r="E146" s="113">
        <f t="shared" si="20"/>
        <v>8702</v>
      </c>
      <c r="F146" s="114">
        <f t="shared" si="21"/>
        <v>0.1227137478318503</v>
      </c>
    </row>
    <row r="147" spans="1:6" x14ac:dyDescent="0.2">
      <c r="A147" s="115">
        <v>6</v>
      </c>
      <c r="B147" s="116" t="s">
        <v>118</v>
      </c>
      <c r="C147" s="113">
        <v>0</v>
      </c>
      <c r="D147" s="113">
        <v>0</v>
      </c>
      <c r="E147" s="113">
        <f t="shared" si="20"/>
        <v>0</v>
      </c>
      <c r="F147" s="114">
        <f t="shared" si="21"/>
        <v>0</v>
      </c>
    </row>
    <row r="148" spans="1:6" x14ac:dyDescent="0.2">
      <c r="A148" s="115">
        <v>7</v>
      </c>
      <c r="B148" s="116" t="s">
        <v>119</v>
      </c>
      <c r="C148" s="113">
        <v>13626571</v>
      </c>
      <c r="D148" s="113">
        <v>16168239</v>
      </c>
      <c r="E148" s="113">
        <f t="shared" si="20"/>
        <v>2541668</v>
      </c>
      <c r="F148" s="114">
        <f t="shared" si="21"/>
        <v>0.18652293375934414</v>
      </c>
    </row>
    <row r="149" spans="1:6" x14ac:dyDescent="0.2">
      <c r="A149" s="115">
        <v>8</v>
      </c>
      <c r="B149" s="116" t="s">
        <v>120</v>
      </c>
      <c r="C149" s="113">
        <v>523664</v>
      </c>
      <c r="D149" s="113">
        <v>654242</v>
      </c>
      <c r="E149" s="113">
        <f t="shared" si="20"/>
        <v>130578</v>
      </c>
      <c r="F149" s="114">
        <f t="shared" si="21"/>
        <v>0.24935454795441353</v>
      </c>
    </row>
    <row r="150" spans="1:6" x14ac:dyDescent="0.2">
      <c r="A150" s="115">
        <v>9</v>
      </c>
      <c r="B150" s="116" t="s">
        <v>121</v>
      </c>
      <c r="C150" s="113">
        <v>1547493</v>
      </c>
      <c r="D150" s="113">
        <v>1933809</v>
      </c>
      <c r="E150" s="113">
        <f t="shared" si="20"/>
        <v>386316</v>
      </c>
      <c r="F150" s="114">
        <f t="shared" si="21"/>
        <v>0.24963990144058809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132888</v>
      </c>
      <c r="D152" s="113">
        <v>194561</v>
      </c>
      <c r="E152" s="113">
        <f t="shared" si="20"/>
        <v>61673</v>
      </c>
      <c r="F152" s="114">
        <f t="shared" si="21"/>
        <v>0.46409758593702966</v>
      </c>
    </row>
    <row r="153" spans="1:6" ht="33.75" customHeight="1" x14ac:dyDescent="0.25">
      <c r="A153" s="117"/>
      <c r="B153" s="118" t="s">
        <v>146</v>
      </c>
      <c r="C153" s="119">
        <f>SUM(C142:C152)</f>
        <v>38418285</v>
      </c>
      <c r="D153" s="119">
        <f>SUM(D142:D152)</f>
        <v>43224736</v>
      </c>
      <c r="E153" s="119">
        <f t="shared" si="20"/>
        <v>4806451</v>
      </c>
      <c r="F153" s="120">
        <f t="shared" si="21"/>
        <v>0.12510842167993705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1391659</v>
      </c>
      <c r="D155" s="113">
        <v>1969471</v>
      </c>
      <c r="E155" s="113">
        <f t="shared" ref="E155:E166" si="22">D155-C155</f>
        <v>577812</v>
      </c>
      <c r="F155" s="114">
        <f t="shared" ref="F155:F166" si="23">IF(C155=0,0,E155/C155)</f>
        <v>0.41519653880727964</v>
      </c>
    </row>
    <row r="156" spans="1:6" x14ac:dyDescent="0.2">
      <c r="A156" s="115">
        <v>2</v>
      </c>
      <c r="B156" s="116" t="s">
        <v>114</v>
      </c>
      <c r="C156" s="113">
        <v>610855</v>
      </c>
      <c r="D156" s="113">
        <v>1059589</v>
      </c>
      <c r="E156" s="113">
        <f t="shared" si="22"/>
        <v>448734</v>
      </c>
      <c r="F156" s="114">
        <f t="shared" si="23"/>
        <v>0.7345998641248741</v>
      </c>
    </row>
    <row r="157" spans="1:6" x14ac:dyDescent="0.2">
      <c r="A157" s="115">
        <v>3</v>
      </c>
      <c r="B157" s="116" t="s">
        <v>115</v>
      </c>
      <c r="C157" s="113">
        <v>3016872</v>
      </c>
      <c r="D157" s="113">
        <v>2856057</v>
      </c>
      <c r="E157" s="113">
        <f t="shared" si="22"/>
        <v>-160815</v>
      </c>
      <c r="F157" s="114">
        <f t="shared" si="23"/>
        <v>-5.3305211490576994E-2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14936</v>
      </c>
      <c r="D159" s="113">
        <v>27255</v>
      </c>
      <c r="E159" s="113">
        <f t="shared" si="22"/>
        <v>12319</v>
      </c>
      <c r="F159" s="114">
        <f t="shared" si="23"/>
        <v>0.82478575254418851</v>
      </c>
    </row>
    <row r="160" spans="1:6" x14ac:dyDescent="0.2">
      <c r="A160" s="115">
        <v>6</v>
      </c>
      <c r="B160" s="116" t="s">
        <v>118</v>
      </c>
      <c r="C160" s="113">
        <v>0</v>
      </c>
      <c r="D160" s="113">
        <v>0</v>
      </c>
      <c r="E160" s="113">
        <f t="shared" si="22"/>
        <v>0</v>
      </c>
      <c r="F160" s="114">
        <f t="shared" si="23"/>
        <v>0</v>
      </c>
    </row>
    <row r="161" spans="1:6" x14ac:dyDescent="0.2">
      <c r="A161" s="115">
        <v>7</v>
      </c>
      <c r="B161" s="116" t="s">
        <v>119</v>
      </c>
      <c r="C161" s="113">
        <v>6109324</v>
      </c>
      <c r="D161" s="113">
        <v>14647591</v>
      </c>
      <c r="E161" s="113">
        <f t="shared" si="22"/>
        <v>8538267</v>
      </c>
      <c r="F161" s="114">
        <f t="shared" si="23"/>
        <v>1.3975796667520006</v>
      </c>
    </row>
    <row r="162" spans="1:6" x14ac:dyDescent="0.2">
      <c r="A162" s="115">
        <v>8</v>
      </c>
      <c r="B162" s="116" t="s">
        <v>120</v>
      </c>
      <c r="C162" s="113">
        <v>308241</v>
      </c>
      <c r="D162" s="113">
        <v>394304</v>
      </c>
      <c r="E162" s="113">
        <f t="shared" si="22"/>
        <v>86063</v>
      </c>
      <c r="F162" s="114">
        <f t="shared" si="23"/>
        <v>0.27920685437693232</v>
      </c>
    </row>
    <row r="163" spans="1:6" x14ac:dyDescent="0.2">
      <c r="A163" s="115">
        <v>9</v>
      </c>
      <c r="B163" s="116" t="s">
        <v>121</v>
      </c>
      <c r="C163" s="113">
        <v>54419</v>
      </c>
      <c r="D163" s="113">
        <v>59457</v>
      </c>
      <c r="E163" s="113">
        <f t="shared" si="22"/>
        <v>5038</v>
      </c>
      <c r="F163" s="114">
        <f t="shared" si="23"/>
        <v>9.2577959903710108E-2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21361</v>
      </c>
      <c r="D165" s="113">
        <v>89545</v>
      </c>
      <c r="E165" s="113">
        <f t="shared" si="22"/>
        <v>68184</v>
      </c>
      <c r="F165" s="114">
        <f t="shared" si="23"/>
        <v>3.1919853939422311</v>
      </c>
    </row>
    <row r="166" spans="1:6" ht="33.75" customHeight="1" x14ac:dyDescent="0.25">
      <c r="A166" s="117"/>
      <c r="B166" s="118" t="s">
        <v>148</v>
      </c>
      <c r="C166" s="119">
        <f>SUM(C155:C165)</f>
        <v>11527667</v>
      </c>
      <c r="D166" s="119">
        <f>SUM(D155:D165)</f>
        <v>21103269</v>
      </c>
      <c r="E166" s="119">
        <f t="shared" si="22"/>
        <v>9575602</v>
      </c>
      <c r="F166" s="120">
        <f t="shared" si="23"/>
        <v>0.83066261369277927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3003</v>
      </c>
      <c r="D168" s="133">
        <v>3159</v>
      </c>
      <c r="E168" s="133">
        <f t="shared" ref="E168:E179" si="24">D168-C168</f>
        <v>156</v>
      </c>
      <c r="F168" s="114">
        <f t="shared" ref="F168:F179" si="25">IF(C168=0,0,E168/C168)</f>
        <v>5.1948051948051951E-2</v>
      </c>
    </row>
    <row r="169" spans="1:6" x14ac:dyDescent="0.2">
      <c r="A169" s="115">
        <v>2</v>
      </c>
      <c r="B169" s="116" t="s">
        <v>114</v>
      </c>
      <c r="C169" s="133">
        <v>1274</v>
      </c>
      <c r="D169" s="133">
        <v>1438</v>
      </c>
      <c r="E169" s="133">
        <f t="shared" si="24"/>
        <v>164</v>
      </c>
      <c r="F169" s="114">
        <f t="shared" si="25"/>
        <v>0.12872841444270017</v>
      </c>
    </row>
    <row r="170" spans="1:6" x14ac:dyDescent="0.2">
      <c r="A170" s="115">
        <v>3</v>
      </c>
      <c r="B170" s="116" t="s">
        <v>115</v>
      </c>
      <c r="C170" s="133">
        <v>5725</v>
      </c>
      <c r="D170" s="133">
        <v>5429</v>
      </c>
      <c r="E170" s="133">
        <f t="shared" si="24"/>
        <v>-296</v>
      </c>
      <c r="F170" s="114">
        <f t="shared" si="25"/>
        <v>-5.170305676855895E-2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50</v>
      </c>
      <c r="D172" s="133">
        <v>45</v>
      </c>
      <c r="E172" s="133">
        <f t="shared" si="24"/>
        <v>-5</v>
      </c>
      <c r="F172" s="114">
        <f t="shared" si="25"/>
        <v>-0.1</v>
      </c>
    </row>
    <row r="173" spans="1:6" x14ac:dyDescent="0.2">
      <c r="A173" s="115">
        <v>6</v>
      </c>
      <c r="B173" s="116" t="s">
        <v>118</v>
      </c>
      <c r="C173" s="133">
        <v>0</v>
      </c>
      <c r="D173" s="133">
        <v>0</v>
      </c>
      <c r="E173" s="133">
        <f t="shared" si="24"/>
        <v>0</v>
      </c>
      <c r="F173" s="114">
        <f t="shared" si="25"/>
        <v>0</v>
      </c>
    </row>
    <row r="174" spans="1:6" x14ac:dyDescent="0.2">
      <c r="A174" s="115">
        <v>7</v>
      </c>
      <c r="B174" s="116" t="s">
        <v>119</v>
      </c>
      <c r="C174" s="133">
        <v>7079</v>
      </c>
      <c r="D174" s="133">
        <v>7121</v>
      </c>
      <c r="E174" s="133">
        <f t="shared" si="24"/>
        <v>42</v>
      </c>
      <c r="F174" s="114">
        <f t="shared" si="25"/>
        <v>5.9330413900268398E-3</v>
      </c>
    </row>
    <row r="175" spans="1:6" x14ac:dyDescent="0.2">
      <c r="A175" s="115">
        <v>8</v>
      </c>
      <c r="B175" s="116" t="s">
        <v>120</v>
      </c>
      <c r="C175" s="133">
        <v>455</v>
      </c>
      <c r="D175" s="133">
        <v>376</v>
      </c>
      <c r="E175" s="133">
        <f t="shared" si="24"/>
        <v>-79</v>
      </c>
      <c r="F175" s="114">
        <f t="shared" si="25"/>
        <v>-0.17362637362637362</v>
      </c>
    </row>
    <row r="176" spans="1:6" x14ac:dyDescent="0.2">
      <c r="A176" s="115">
        <v>9</v>
      </c>
      <c r="B176" s="116" t="s">
        <v>121</v>
      </c>
      <c r="C176" s="133">
        <v>980</v>
      </c>
      <c r="D176" s="133">
        <v>1031</v>
      </c>
      <c r="E176" s="133">
        <f t="shared" si="24"/>
        <v>51</v>
      </c>
      <c r="F176" s="114">
        <f t="shared" si="25"/>
        <v>5.2040816326530612E-2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98</v>
      </c>
      <c r="D178" s="133">
        <v>105</v>
      </c>
      <c r="E178" s="133">
        <f t="shared" si="24"/>
        <v>7</v>
      </c>
      <c r="F178" s="114">
        <f t="shared" si="25"/>
        <v>7.1428571428571425E-2</v>
      </c>
    </row>
    <row r="179" spans="1:6" ht="33.75" customHeight="1" x14ac:dyDescent="0.25">
      <c r="A179" s="117"/>
      <c r="B179" s="118" t="s">
        <v>150</v>
      </c>
      <c r="C179" s="134">
        <f>SUM(C168:C178)</f>
        <v>18664</v>
      </c>
      <c r="D179" s="134">
        <f>SUM(D168:D178)</f>
        <v>18704</v>
      </c>
      <c r="E179" s="134">
        <f t="shared" si="24"/>
        <v>40</v>
      </c>
      <c r="F179" s="120">
        <f t="shared" si="25"/>
        <v>2.1431633090441492E-3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74" fitToHeight="2" orientation="portrait" horizontalDpi="1200" verticalDpi="1200" r:id="rId1"/>
  <headerFooter>
    <oddHeader>&amp;LOFFICE OF HEALTH CARE ACCESS&amp;CTWELVE MONTHS ACTUAL FILING&amp;RMILFORD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14504923</v>
      </c>
      <c r="D15" s="157">
        <v>13720865</v>
      </c>
      <c r="E15" s="157">
        <f>+D15-C15</f>
        <v>-784058</v>
      </c>
      <c r="F15" s="161">
        <f>IF(C15=0,0,E15/C15)</f>
        <v>-5.4054613044136807E-2</v>
      </c>
    </row>
    <row r="16" spans="1:6" ht="15" customHeight="1" x14ac:dyDescent="0.2">
      <c r="A16" s="147">
        <v>2</v>
      </c>
      <c r="B16" s="160" t="s">
        <v>157</v>
      </c>
      <c r="C16" s="157">
        <v>3081841</v>
      </c>
      <c r="D16" s="157">
        <v>5764295</v>
      </c>
      <c r="E16" s="157">
        <f>+D16-C16</f>
        <v>2682454</v>
      </c>
      <c r="F16" s="161">
        <f>IF(C16=0,0,E16/C16)</f>
        <v>0.87040635775823605</v>
      </c>
    </row>
    <row r="17" spans="1:6" ht="15" customHeight="1" x14ac:dyDescent="0.2">
      <c r="A17" s="147">
        <v>3</v>
      </c>
      <c r="B17" s="160" t="s">
        <v>158</v>
      </c>
      <c r="C17" s="157">
        <v>14668666</v>
      </c>
      <c r="D17" s="157">
        <v>14224741</v>
      </c>
      <c r="E17" s="157">
        <f>+D17-C17</f>
        <v>-443925</v>
      </c>
      <c r="F17" s="161">
        <f>IF(C17=0,0,E17/C17)</f>
        <v>-3.0263488172680462E-2</v>
      </c>
    </row>
    <row r="18" spans="1:6" ht="15.75" customHeight="1" x14ac:dyDescent="0.25">
      <c r="A18" s="147"/>
      <c r="B18" s="162" t="s">
        <v>159</v>
      </c>
      <c r="C18" s="158">
        <f>SUM(C15:C17)</f>
        <v>32255430</v>
      </c>
      <c r="D18" s="158">
        <f>SUM(D15:D17)</f>
        <v>33709901</v>
      </c>
      <c r="E18" s="158">
        <f>+D18-C18</f>
        <v>1454471</v>
      </c>
      <c r="F18" s="159">
        <f>IF(C18=0,0,E18/C18)</f>
        <v>4.5092283686808704E-2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4784452</v>
      </c>
      <c r="D21" s="157">
        <v>3719409</v>
      </c>
      <c r="E21" s="157">
        <f>+D21-C21</f>
        <v>-1065043</v>
      </c>
      <c r="F21" s="161">
        <f>IF(C21=0,0,E21/C21)</f>
        <v>-0.22260501307150746</v>
      </c>
    </row>
    <row r="22" spans="1:6" ht="15" customHeight="1" x14ac:dyDescent="0.2">
      <c r="A22" s="147">
        <v>2</v>
      </c>
      <c r="B22" s="160" t="s">
        <v>162</v>
      </c>
      <c r="C22" s="157">
        <v>495240</v>
      </c>
      <c r="D22" s="157">
        <v>704333</v>
      </c>
      <c r="E22" s="157">
        <f>+D22-C22</f>
        <v>209093</v>
      </c>
      <c r="F22" s="161">
        <f>IF(C22=0,0,E22/C22)</f>
        <v>0.42220539536386398</v>
      </c>
    </row>
    <row r="23" spans="1:6" ht="15" customHeight="1" x14ac:dyDescent="0.2">
      <c r="A23" s="147">
        <v>3</v>
      </c>
      <c r="B23" s="160" t="s">
        <v>163</v>
      </c>
      <c r="C23" s="157">
        <v>4842212</v>
      </c>
      <c r="D23" s="157">
        <v>3871221</v>
      </c>
      <c r="E23" s="157">
        <f>+D23-C23</f>
        <v>-970991</v>
      </c>
      <c r="F23" s="161">
        <f>IF(C23=0,0,E23/C23)</f>
        <v>-0.20052632970221049</v>
      </c>
    </row>
    <row r="24" spans="1:6" ht="15.75" customHeight="1" x14ac:dyDescent="0.25">
      <c r="A24" s="147"/>
      <c r="B24" s="162" t="s">
        <v>164</v>
      </c>
      <c r="C24" s="158">
        <f>SUM(C21:C23)</f>
        <v>10121904</v>
      </c>
      <c r="D24" s="158">
        <f>SUM(D21:D23)</f>
        <v>8294963</v>
      </c>
      <c r="E24" s="158">
        <f>+D24-C24</f>
        <v>-1826941</v>
      </c>
      <c r="F24" s="159">
        <f>IF(C24=0,0,E24/C24)</f>
        <v>-0.18049380827954897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25489</v>
      </c>
      <c r="D27" s="157">
        <v>23679</v>
      </c>
      <c r="E27" s="157">
        <f>+D27-C27</f>
        <v>-1810</v>
      </c>
      <c r="F27" s="161">
        <f>IF(C27=0,0,E27/C27)</f>
        <v>-7.10110243634509E-2</v>
      </c>
    </row>
    <row r="28" spans="1:6" ht="15" customHeight="1" x14ac:dyDescent="0.2">
      <c r="A28" s="147">
        <v>2</v>
      </c>
      <c r="B28" s="160" t="s">
        <v>167</v>
      </c>
      <c r="C28" s="157">
        <v>1108353</v>
      </c>
      <c r="D28" s="157">
        <v>985221</v>
      </c>
      <c r="E28" s="157">
        <f>+D28-C28</f>
        <v>-123132</v>
      </c>
      <c r="F28" s="161">
        <f>IF(C28=0,0,E28/C28)</f>
        <v>-0.11109457005123818</v>
      </c>
    </row>
    <row r="29" spans="1:6" ht="15" customHeight="1" x14ac:dyDescent="0.2">
      <c r="A29" s="147">
        <v>3</v>
      </c>
      <c r="B29" s="160" t="s">
        <v>168</v>
      </c>
      <c r="C29" s="157">
        <v>0</v>
      </c>
      <c r="D29" s="157">
        <v>62747</v>
      </c>
      <c r="E29" s="157">
        <f>+D29-C29</f>
        <v>62747</v>
      </c>
      <c r="F29" s="161">
        <f>IF(C29=0,0,E29/C29)</f>
        <v>0</v>
      </c>
    </row>
    <row r="30" spans="1:6" ht="15.75" customHeight="1" x14ac:dyDescent="0.25">
      <c r="A30" s="147"/>
      <c r="B30" s="162" t="s">
        <v>169</v>
      </c>
      <c r="C30" s="158">
        <f>SUM(C27:C29)</f>
        <v>1133842</v>
      </c>
      <c r="D30" s="158">
        <f>SUM(D27:D29)</f>
        <v>1071647</v>
      </c>
      <c r="E30" s="158">
        <f>+D30-C30</f>
        <v>-62195</v>
      </c>
      <c r="F30" s="159">
        <f>IF(C30=0,0,E30/C30)</f>
        <v>-5.4853321715018492E-2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9646973</v>
      </c>
      <c r="D33" s="157">
        <v>9827012</v>
      </c>
      <c r="E33" s="157">
        <f>+D33-C33</f>
        <v>180039</v>
      </c>
      <c r="F33" s="161">
        <f>IF(C33=0,0,E33/C33)</f>
        <v>1.8662745298447504E-2</v>
      </c>
    </row>
    <row r="34" spans="1:6" ht="15" customHeight="1" x14ac:dyDescent="0.2">
      <c r="A34" s="147">
        <v>2</v>
      </c>
      <c r="B34" s="160" t="s">
        <v>173</v>
      </c>
      <c r="C34" s="157">
        <v>2333235</v>
      </c>
      <c r="D34" s="157">
        <v>2317649</v>
      </c>
      <c r="E34" s="157">
        <f>+D34-C34</f>
        <v>-15586</v>
      </c>
      <c r="F34" s="161">
        <f>IF(C34=0,0,E34/C34)</f>
        <v>-6.6799957998229928E-3</v>
      </c>
    </row>
    <row r="35" spans="1:6" ht="15.75" customHeight="1" x14ac:dyDescent="0.25">
      <c r="A35" s="147"/>
      <c r="B35" s="162" t="s">
        <v>174</v>
      </c>
      <c r="C35" s="158">
        <f>SUM(C33:C34)</f>
        <v>11980208</v>
      </c>
      <c r="D35" s="158">
        <f>SUM(D33:D34)</f>
        <v>12144661</v>
      </c>
      <c r="E35" s="158">
        <f>+D35-C35</f>
        <v>164453</v>
      </c>
      <c r="F35" s="159">
        <f>IF(C35=0,0,E35/C35)</f>
        <v>1.3727057159608581E-2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845041</v>
      </c>
      <c r="D38" s="157">
        <v>1029494</v>
      </c>
      <c r="E38" s="157">
        <f>+D38-C38</f>
        <v>184453</v>
      </c>
      <c r="F38" s="161">
        <f>IF(C38=0,0,E38/C38)</f>
        <v>0.2182769830102918</v>
      </c>
    </row>
    <row r="39" spans="1:6" ht="15" customHeight="1" x14ac:dyDescent="0.2">
      <c r="A39" s="147">
        <v>2</v>
      </c>
      <c r="B39" s="160" t="s">
        <v>178</v>
      </c>
      <c r="C39" s="157">
        <v>1617187</v>
      </c>
      <c r="D39" s="157">
        <v>1325130</v>
      </c>
      <c r="E39" s="157">
        <f>+D39-C39</f>
        <v>-292057</v>
      </c>
      <c r="F39" s="161">
        <f>IF(C39=0,0,E39/C39)</f>
        <v>-0.18059568868658973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2462228</v>
      </c>
      <c r="D41" s="158">
        <f>SUM(D38:D40)</f>
        <v>2354624</v>
      </c>
      <c r="E41" s="158">
        <f>+D41-C41</f>
        <v>-107604</v>
      </c>
      <c r="F41" s="159">
        <f>IF(C41=0,0,E41/C41)</f>
        <v>-4.3701883010021821E-2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85184</v>
      </c>
      <c r="D47" s="157">
        <v>68338</v>
      </c>
      <c r="E47" s="157">
        <f>+D47-C47</f>
        <v>-16846</v>
      </c>
      <c r="F47" s="161">
        <f>IF(C47=0,0,E47/C47)</f>
        <v>-0.19776014274981218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711640</v>
      </c>
      <c r="D50" s="157">
        <v>572805</v>
      </c>
      <c r="E50" s="157">
        <f>+D50-C50</f>
        <v>-138835</v>
      </c>
      <c r="F50" s="161">
        <f>IF(C50=0,0,E50/C50)</f>
        <v>-0.1950916193581024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78982</v>
      </c>
      <c r="D53" s="157">
        <v>68052</v>
      </c>
      <c r="E53" s="157">
        <f t="shared" ref="E53:E59" si="0">+D53-C53</f>
        <v>-10930</v>
      </c>
      <c r="F53" s="161">
        <f t="shared" ref="F53:F59" si="1">IF(C53=0,0,E53/C53)</f>
        <v>-0.13838596135828415</v>
      </c>
    </row>
    <row r="54" spans="1:6" ht="15" customHeight="1" x14ac:dyDescent="0.2">
      <c r="A54" s="147">
        <v>2</v>
      </c>
      <c r="B54" s="160" t="s">
        <v>189</v>
      </c>
      <c r="C54" s="157">
        <v>334214</v>
      </c>
      <c r="D54" s="157">
        <v>293624</v>
      </c>
      <c r="E54" s="157">
        <f t="shared" si="0"/>
        <v>-40590</v>
      </c>
      <c r="F54" s="161">
        <f t="shared" si="1"/>
        <v>-0.12144913139485479</v>
      </c>
    </row>
    <row r="55" spans="1:6" ht="15" customHeight="1" x14ac:dyDescent="0.2">
      <c r="A55" s="147">
        <v>3</v>
      </c>
      <c r="B55" s="160" t="s">
        <v>190</v>
      </c>
      <c r="C55" s="157">
        <v>15288</v>
      </c>
      <c r="D55" s="157">
        <v>1316</v>
      </c>
      <c r="E55" s="157">
        <f t="shared" si="0"/>
        <v>-13972</v>
      </c>
      <c r="F55" s="161">
        <f t="shared" si="1"/>
        <v>-0.91391941391941389</v>
      </c>
    </row>
    <row r="56" spans="1:6" ht="15" customHeight="1" x14ac:dyDescent="0.2">
      <c r="A56" s="147">
        <v>4</v>
      </c>
      <c r="B56" s="160" t="s">
        <v>191</v>
      </c>
      <c r="C56" s="157">
        <v>937429</v>
      </c>
      <c r="D56" s="157">
        <v>935835</v>
      </c>
      <c r="E56" s="157">
        <f t="shared" si="0"/>
        <v>-1594</v>
      </c>
      <c r="F56" s="161">
        <f t="shared" si="1"/>
        <v>-1.7003954432815711E-3</v>
      </c>
    </row>
    <row r="57" spans="1:6" ht="15" customHeight="1" x14ac:dyDescent="0.2">
      <c r="A57" s="147">
        <v>5</v>
      </c>
      <c r="B57" s="160" t="s">
        <v>192</v>
      </c>
      <c r="C57" s="157">
        <v>80173</v>
      </c>
      <c r="D57" s="157">
        <v>70822</v>
      </c>
      <c r="E57" s="157">
        <f t="shared" si="0"/>
        <v>-9351</v>
      </c>
      <c r="F57" s="161">
        <f t="shared" si="1"/>
        <v>-0.11663527621518466</v>
      </c>
    </row>
    <row r="58" spans="1:6" ht="15" customHeight="1" x14ac:dyDescent="0.2">
      <c r="A58" s="147">
        <v>6</v>
      </c>
      <c r="B58" s="160" t="s">
        <v>193</v>
      </c>
      <c r="C58" s="157">
        <v>54066</v>
      </c>
      <c r="D58" s="157">
        <v>56789</v>
      </c>
      <c r="E58" s="157">
        <f t="shared" si="0"/>
        <v>2723</v>
      </c>
      <c r="F58" s="161">
        <f t="shared" si="1"/>
        <v>5.0364369474346173E-2</v>
      </c>
    </row>
    <row r="59" spans="1:6" ht="15.75" customHeight="1" x14ac:dyDescent="0.25">
      <c r="A59" s="147"/>
      <c r="B59" s="162" t="s">
        <v>194</v>
      </c>
      <c r="C59" s="158">
        <f>SUM(C53:C58)</f>
        <v>1500152</v>
      </c>
      <c r="D59" s="158">
        <f>SUM(D53:D58)</f>
        <v>1426438</v>
      </c>
      <c r="E59" s="158">
        <f t="shared" si="0"/>
        <v>-73714</v>
      </c>
      <c r="F59" s="159">
        <f t="shared" si="1"/>
        <v>-4.9137687381012055E-2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153487</v>
      </c>
      <c r="D62" s="157">
        <v>130656</v>
      </c>
      <c r="E62" s="157">
        <f t="shared" ref="E62:E90" si="2">+D62-C62</f>
        <v>-22831</v>
      </c>
      <c r="F62" s="161">
        <f t="shared" ref="F62:F90" si="3">IF(C62=0,0,E62/C62)</f>
        <v>-0.14874875396613393</v>
      </c>
    </row>
    <row r="63" spans="1:6" ht="15" customHeight="1" x14ac:dyDescent="0.2">
      <c r="A63" s="147">
        <v>2</v>
      </c>
      <c r="B63" s="160" t="s">
        <v>198</v>
      </c>
      <c r="C63" s="157">
        <v>159130</v>
      </c>
      <c r="D63" s="157">
        <v>197076</v>
      </c>
      <c r="E63" s="157">
        <f t="shared" si="2"/>
        <v>37946</v>
      </c>
      <c r="F63" s="161">
        <f t="shared" si="3"/>
        <v>0.23845912147300949</v>
      </c>
    </row>
    <row r="64" spans="1:6" ht="15" customHeight="1" x14ac:dyDescent="0.2">
      <c r="A64" s="147">
        <v>3</v>
      </c>
      <c r="B64" s="160" t="s">
        <v>199</v>
      </c>
      <c r="C64" s="157">
        <v>63085</v>
      </c>
      <c r="D64" s="157">
        <v>47945</v>
      </c>
      <c r="E64" s="157">
        <f t="shared" si="2"/>
        <v>-15140</v>
      </c>
      <c r="F64" s="161">
        <f t="shared" si="3"/>
        <v>-0.23999365934849806</v>
      </c>
    </row>
    <row r="65" spans="1:6" ht="15" customHeight="1" x14ac:dyDescent="0.2">
      <c r="A65" s="147">
        <v>4</v>
      </c>
      <c r="B65" s="160" t="s">
        <v>200</v>
      </c>
      <c r="C65" s="157">
        <v>239839</v>
      </c>
      <c r="D65" s="157">
        <v>227623</v>
      </c>
      <c r="E65" s="157">
        <f t="shared" si="2"/>
        <v>-12216</v>
      </c>
      <c r="F65" s="161">
        <f t="shared" si="3"/>
        <v>-5.0934168337926695E-2</v>
      </c>
    </row>
    <row r="66" spans="1:6" ht="15" customHeight="1" x14ac:dyDescent="0.2">
      <c r="A66" s="147">
        <v>5</v>
      </c>
      <c r="B66" s="160" t="s">
        <v>201</v>
      </c>
      <c r="C66" s="157">
        <v>153191</v>
      </c>
      <c r="D66" s="157">
        <v>115473</v>
      </c>
      <c r="E66" s="157">
        <f t="shared" si="2"/>
        <v>-37718</v>
      </c>
      <c r="F66" s="161">
        <f t="shared" si="3"/>
        <v>-0.24621550874398626</v>
      </c>
    </row>
    <row r="67" spans="1:6" ht="15" customHeight="1" x14ac:dyDescent="0.2">
      <c r="A67" s="147">
        <v>6</v>
      </c>
      <c r="B67" s="160" t="s">
        <v>202</v>
      </c>
      <c r="C67" s="157">
        <v>147618</v>
      </c>
      <c r="D67" s="157">
        <v>149210</v>
      </c>
      <c r="E67" s="157">
        <f t="shared" si="2"/>
        <v>1592</v>
      </c>
      <c r="F67" s="161">
        <f t="shared" si="3"/>
        <v>1.078459266485117E-2</v>
      </c>
    </row>
    <row r="68" spans="1:6" ht="15" customHeight="1" x14ac:dyDescent="0.2">
      <c r="A68" s="147">
        <v>7</v>
      </c>
      <c r="B68" s="160" t="s">
        <v>203</v>
      </c>
      <c r="C68" s="157">
        <v>95129</v>
      </c>
      <c r="D68" s="157">
        <v>125908</v>
      </c>
      <c r="E68" s="157">
        <f t="shared" si="2"/>
        <v>30779</v>
      </c>
      <c r="F68" s="161">
        <f t="shared" si="3"/>
        <v>0.32355012667010058</v>
      </c>
    </row>
    <row r="69" spans="1:6" ht="15" customHeight="1" x14ac:dyDescent="0.2">
      <c r="A69" s="147">
        <v>8</v>
      </c>
      <c r="B69" s="160" t="s">
        <v>204</v>
      </c>
      <c r="C69" s="157">
        <v>231026</v>
      </c>
      <c r="D69" s="157">
        <v>232417</v>
      </c>
      <c r="E69" s="157">
        <f t="shared" si="2"/>
        <v>1391</v>
      </c>
      <c r="F69" s="161">
        <f t="shared" si="3"/>
        <v>6.020967337009687E-3</v>
      </c>
    </row>
    <row r="70" spans="1:6" ht="15" customHeight="1" x14ac:dyDescent="0.2">
      <c r="A70" s="147">
        <v>9</v>
      </c>
      <c r="B70" s="160" t="s">
        <v>205</v>
      </c>
      <c r="C70" s="157">
        <v>20709</v>
      </c>
      <c r="D70" s="157">
        <v>19440</v>
      </c>
      <c r="E70" s="157">
        <f t="shared" si="2"/>
        <v>-1269</v>
      </c>
      <c r="F70" s="161">
        <f t="shared" si="3"/>
        <v>-6.1277705345501955E-2</v>
      </c>
    </row>
    <row r="71" spans="1:6" ht="15" customHeight="1" x14ac:dyDescent="0.2">
      <c r="A71" s="147">
        <v>10</v>
      </c>
      <c r="B71" s="160" t="s">
        <v>206</v>
      </c>
      <c r="C71" s="157">
        <v>5905</v>
      </c>
      <c r="D71" s="157">
        <v>5483</v>
      </c>
      <c r="E71" s="157">
        <f t="shared" si="2"/>
        <v>-422</v>
      </c>
      <c r="F71" s="161">
        <f t="shared" si="3"/>
        <v>-7.1464860287891618E-2</v>
      </c>
    </row>
    <row r="72" spans="1:6" ht="15" customHeight="1" x14ac:dyDescent="0.2">
      <c r="A72" s="147">
        <v>11</v>
      </c>
      <c r="B72" s="160" t="s">
        <v>207</v>
      </c>
      <c r="C72" s="157">
        <v>0</v>
      </c>
      <c r="D72" s="157">
        <v>2009</v>
      </c>
      <c r="E72" s="157">
        <f t="shared" si="2"/>
        <v>2009</v>
      </c>
      <c r="F72" s="161">
        <f t="shared" si="3"/>
        <v>0</v>
      </c>
    </row>
    <row r="73" spans="1:6" ht="15" customHeight="1" x14ac:dyDescent="0.2">
      <c r="A73" s="147">
        <v>12</v>
      </c>
      <c r="B73" s="160" t="s">
        <v>208</v>
      </c>
      <c r="C73" s="157">
        <v>182895</v>
      </c>
      <c r="D73" s="157">
        <v>139000</v>
      </c>
      <c r="E73" s="157">
        <f t="shared" si="2"/>
        <v>-43895</v>
      </c>
      <c r="F73" s="161">
        <f t="shared" si="3"/>
        <v>-0.24000109352360643</v>
      </c>
    </row>
    <row r="74" spans="1:6" ht="15" customHeight="1" x14ac:dyDescent="0.2">
      <c r="A74" s="147">
        <v>13</v>
      </c>
      <c r="B74" s="160" t="s">
        <v>209</v>
      </c>
      <c r="C74" s="157">
        <v>206249</v>
      </c>
      <c r="D74" s="157">
        <v>166646</v>
      </c>
      <c r="E74" s="157">
        <f t="shared" si="2"/>
        <v>-39603</v>
      </c>
      <c r="F74" s="161">
        <f t="shared" si="3"/>
        <v>-0.19201547643867364</v>
      </c>
    </row>
    <row r="75" spans="1:6" ht="15" customHeight="1" x14ac:dyDescent="0.2">
      <c r="A75" s="147">
        <v>14</v>
      </c>
      <c r="B75" s="160" t="s">
        <v>210</v>
      </c>
      <c r="C75" s="157">
        <v>32871</v>
      </c>
      <c r="D75" s="157">
        <v>23939</v>
      </c>
      <c r="E75" s="157">
        <f t="shared" si="2"/>
        <v>-8932</v>
      </c>
      <c r="F75" s="161">
        <f t="shared" si="3"/>
        <v>-0.27172887955949016</v>
      </c>
    </row>
    <row r="76" spans="1:6" ht="15" customHeight="1" x14ac:dyDescent="0.2">
      <c r="A76" s="147">
        <v>15</v>
      </c>
      <c r="B76" s="160" t="s">
        <v>211</v>
      </c>
      <c r="C76" s="157">
        <v>87513</v>
      </c>
      <c r="D76" s="157">
        <v>71106</v>
      </c>
      <c r="E76" s="157">
        <f t="shared" si="2"/>
        <v>-16407</v>
      </c>
      <c r="F76" s="161">
        <f t="shared" si="3"/>
        <v>-0.18748071715059478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0</v>
      </c>
      <c r="D78" s="157">
        <v>0</v>
      </c>
      <c r="E78" s="157">
        <f t="shared" si="2"/>
        <v>0</v>
      </c>
      <c r="F78" s="161">
        <f t="shared" si="3"/>
        <v>0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618945</v>
      </c>
      <c r="D80" s="157">
        <v>478141</v>
      </c>
      <c r="E80" s="157">
        <f t="shared" si="2"/>
        <v>-140804</v>
      </c>
      <c r="F80" s="161">
        <f t="shared" si="3"/>
        <v>-0.22749032628101043</v>
      </c>
    </row>
    <row r="81" spans="1:6" ht="15" customHeight="1" x14ac:dyDescent="0.2">
      <c r="A81" s="147">
        <v>20</v>
      </c>
      <c r="B81" s="160" t="s">
        <v>216</v>
      </c>
      <c r="C81" s="157">
        <v>739263</v>
      </c>
      <c r="D81" s="157">
        <v>709878</v>
      </c>
      <c r="E81" s="157">
        <f t="shared" si="2"/>
        <v>-29385</v>
      </c>
      <c r="F81" s="161">
        <f t="shared" si="3"/>
        <v>-3.9749047362034891E-2</v>
      </c>
    </row>
    <row r="82" spans="1:6" ht="15" customHeight="1" x14ac:dyDescent="0.2">
      <c r="A82" s="147">
        <v>21</v>
      </c>
      <c r="B82" s="160" t="s">
        <v>217</v>
      </c>
      <c r="C82" s="157">
        <v>511364</v>
      </c>
      <c r="D82" s="157">
        <v>480267</v>
      </c>
      <c r="E82" s="157">
        <f t="shared" si="2"/>
        <v>-31097</v>
      </c>
      <c r="F82" s="161">
        <f t="shared" si="3"/>
        <v>-6.0811867867116183E-2</v>
      </c>
    </row>
    <row r="83" spans="1:6" ht="15" customHeight="1" x14ac:dyDescent="0.2">
      <c r="A83" s="147">
        <v>22</v>
      </c>
      <c r="B83" s="160" t="s">
        <v>218</v>
      </c>
      <c r="C83" s="157">
        <v>0</v>
      </c>
      <c r="D83" s="157">
        <v>0</v>
      </c>
      <c r="E83" s="157">
        <f t="shared" si="2"/>
        <v>0</v>
      </c>
      <c r="F83" s="161">
        <f t="shared" si="3"/>
        <v>0</v>
      </c>
    </row>
    <row r="84" spans="1:6" ht="15" customHeight="1" x14ac:dyDescent="0.2">
      <c r="A84" s="147">
        <v>23</v>
      </c>
      <c r="B84" s="160" t="s">
        <v>219</v>
      </c>
      <c r="C84" s="157">
        <v>246463</v>
      </c>
      <c r="D84" s="157">
        <v>190151</v>
      </c>
      <c r="E84" s="157">
        <f t="shared" si="2"/>
        <v>-56312</v>
      </c>
      <c r="F84" s="161">
        <f t="shared" si="3"/>
        <v>-0.22848054271837964</v>
      </c>
    </row>
    <row r="85" spans="1:6" ht="15" customHeight="1" x14ac:dyDescent="0.2">
      <c r="A85" s="147">
        <v>24</v>
      </c>
      <c r="B85" s="160" t="s">
        <v>220</v>
      </c>
      <c r="C85" s="157">
        <v>1108353</v>
      </c>
      <c r="D85" s="157">
        <v>984080</v>
      </c>
      <c r="E85" s="157">
        <f t="shared" si="2"/>
        <v>-124273</v>
      </c>
      <c r="F85" s="161">
        <f t="shared" si="3"/>
        <v>-0.11212402546842026</v>
      </c>
    </row>
    <row r="86" spans="1:6" ht="15" customHeight="1" x14ac:dyDescent="0.2">
      <c r="A86" s="147">
        <v>25</v>
      </c>
      <c r="B86" s="160" t="s">
        <v>221</v>
      </c>
      <c r="C86" s="157">
        <v>67499</v>
      </c>
      <c r="D86" s="157">
        <v>71149</v>
      </c>
      <c r="E86" s="157">
        <f t="shared" si="2"/>
        <v>3650</v>
      </c>
      <c r="F86" s="161">
        <f t="shared" si="3"/>
        <v>5.4074875183336049E-2</v>
      </c>
    </row>
    <row r="87" spans="1:6" ht="15" customHeight="1" x14ac:dyDescent="0.2">
      <c r="A87" s="147">
        <v>26</v>
      </c>
      <c r="B87" s="160" t="s">
        <v>222</v>
      </c>
      <c r="C87" s="157">
        <v>498323</v>
      </c>
      <c r="D87" s="157">
        <v>527364</v>
      </c>
      <c r="E87" s="157">
        <f t="shared" si="2"/>
        <v>29041</v>
      </c>
      <c r="F87" s="161">
        <f t="shared" si="3"/>
        <v>5.8277462609592573E-2</v>
      </c>
    </row>
    <row r="88" spans="1:6" ht="15" customHeight="1" x14ac:dyDescent="0.2">
      <c r="A88" s="147">
        <v>27</v>
      </c>
      <c r="B88" s="160" t="s">
        <v>223</v>
      </c>
      <c r="C88" s="157">
        <v>831315</v>
      </c>
      <c r="D88" s="157">
        <v>1203106</v>
      </c>
      <c r="E88" s="157">
        <f t="shared" si="2"/>
        <v>371791</v>
      </c>
      <c r="F88" s="161">
        <f t="shared" si="3"/>
        <v>0.44723239686520755</v>
      </c>
    </row>
    <row r="89" spans="1:6" ht="15" customHeight="1" x14ac:dyDescent="0.2">
      <c r="A89" s="147">
        <v>28</v>
      </c>
      <c r="B89" s="160" t="s">
        <v>224</v>
      </c>
      <c r="C89" s="157">
        <v>209163</v>
      </c>
      <c r="D89" s="157">
        <v>158964</v>
      </c>
      <c r="E89" s="157">
        <f t="shared" si="2"/>
        <v>-50199</v>
      </c>
      <c r="F89" s="161">
        <f t="shared" si="3"/>
        <v>-0.23999942628476356</v>
      </c>
    </row>
    <row r="90" spans="1:6" ht="15.75" customHeight="1" x14ac:dyDescent="0.25">
      <c r="A90" s="147"/>
      <c r="B90" s="162" t="s">
        <v>225</v>
      </c>
      <c r="C90" s="158">
        <f>SUM(C62:C89)</f>
        <v>6609335</v>
      </c>
      <c r="D90" s="158">
        <f>SUM(D62:D89)</f>
        <v>6457031</v>
      </c>
      <c r="E90" s="158">
        <f t="shared" si="2"/>
        <v>-152304</v>
      </c>
      <c r="F90" s="159">
        <f t="shared" si="3"/>
        <v>-2.3043770666791741E-2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1806165</v>
      </c>
      <c r="D93" s="157">
        <v>1198590</v>
      </c>
      <c r="E93" s="157">
        <f>+D93-C93</f>
        <v>-607575</v>
      </c>
      <c r="F93" s="161">
        <f>IF(C93=0,0,E93/C93)</f>
        <v>-0.33638953251779324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68666088</v>
      </c>
      <c r="D95" s="158">
        <f>+D93+D90+D59+D50+D47+D44+D41+D35+D30+D24+D18</f>
        <v>67298998</v>
      </c>
      <c r="E95" s="158">
        <f>+D95-C95</f>
        <v>-1367090</v>
      </c>
      <c r="F95" s="159">
        <f>IF(C95=0,0,E95/C95)</f>
        <v>-1.9909245448786889E-2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2057605</v>
      </c>
      <c r="D103" s="157">
        <v>2540445</v>
      </c>
      <c r="E103" s="157">
        <f t="shared" ref="E103:E121" si="4">D103-C103</f>
        <v>482840</v>
      </c>
      <c r="F103" s="161">
        <f t="shared" ref="F103:F121" si="5">IF(C103=0,0,E103/C103)</f>
        <v>0.23466117160485128</v>
      </c>
    </row>
    <row r="104" spans="1:6" ht="15" customHeight="1" x14ac:dyDescent="0.2">
      <c r="A104" s="147">
        <v>2</v>
      </c>
      <c r="B104" s="169" t="s">
        <v>234</v>
      </c>
      <c r="C104" s="157">
        <v>711640</v>
      </c>
      <c r="D104" s="157">
        <v>692918</v>
      </c>
      <c r="E104" s="157">
        <f t="shared" si="4"/>
        <v>-18722</v>
      </c>
      <c r="F104" s="161">
        <f t="shared" si="5"/>
        <v>-2.6308245742229217E-2</v>
      </c>
    </row>
    <row r="105" spans="1:6" ht="15" customHeight="1" x14ac:dyDescent="0.2">
      <c r="A105" s="147">
        <v>3</v>
      </c>
      <c r="B105" s="169" t="s">
        <v>235</v>
      </c>
      <c r="C105" s="157">
        <v>1131989</v>
      </c>
      <c r="D105" s="157">
        <v>1284808</v>
      </c>
      <c r="E105" s="157">
        <f t="shared" si="4"/>
        <v>152819</v>
      </c>
      <c r="F105" s="161">
        <f t="shared" si="5"/>
        <v>0.13500042844939306</v>
      </c>
    </row>
    <row r="106" spans="1:6" ht="15" customHeight="1" x14ac:dyDescent="0.2">
      <c r="A106" s="147">
        <v>4</v>
      </c>
      <c r="B106" s="169" t="s">
        <v>236</v>
      </c>
      <c r="C106" s="157">
        <v>638191</v>
      </c>
      <c r="D106" s="157">
        <v>837482</v>
      </c>
      <c r="E106" s="157">
        <f t="shared" si="4"/>
        <v>199291</v>
      </c>
      <c r="F106" s="161">
        <f t="shared" si="5"/>
        <v>0.3122748518860341</v>
      </c>
    </row>
    <row r="107" spans="1:6" ht="15" customHeight="1" x14ac:dyDescent="0.2">
      <c r="A107" s="147">
        <v>5</v>
      </c>
      <c r="B107" s="169" t="s">
        <v>237</v>
      </c>
      <c r="C107" s="157">
        <v>2318178</v>
      </c>
      <c r="D107" s="157">
        <v>2529743</v>
      </c>
      <c r="E107" s="157">
        <f t="shared" si="4"/>
        <v>211565</v>
      </c>
      <c r="F107" s="161">
        <f t="shared" si="5"/>
        <v>9.1263483649659347E-2</v>
      </c>
    </row>
    <row r="108" spans="1:6" ht="15" customHeight="1" x14ac:dyDescent="0.2">
      <c r="A108" s="147">
        <v>6</v>
      </c>
      <c r="B108" s="169" t="s">
        <v>238</v>
      </c>
      <c r="C108" s="157">
        <v>436592</v>
      </c>
      <c r="D108" s="157">
        <v>522479</v>
      </c>
      <c r="E108" s="157">
        <f t="shared" si="4"/>
        <v>85887</v>
      </c>
      <c r="F108" s="161">
        <f t="shared" si="5"/>
        <v>0.19672142412137647</v>
      </c>
    </row>
    <row r="109" spans="1:6" ht="15" customHeight="1" x14ac:dyDescent="0.2">
      <c r="A109" s="147">
        <v>7</v>
      </c>
      <c r="B109" s="169" t="s">
        <v>239</v>
      </c>
      <c r="C109" s="157">
        <v>367590</v>
      </c>
      <c r="D109" s="157">
        <v>426588</v>
      </c>
      <c r="E109" s="157">
        <f t="shared" si="4"/>
        <v>58998</v>
      </c>
      <c r="F109" s="161">
        <f t="shared" si="5"/>
        <v>0.16049946951766914</v>
      </c>
    </row>
    <row r="110" spans="1:6" ht="15" customHeight="1" x14ac:dyDescent="0.2">
      <c r="A110" s="147">
        <v>8</v>
      </c>
      <c r="B110" s="169" t="s">
        <v>240</v>
      </c>
      <c r="C110" s="157">
        <v>107125</v>
      </c>
      <c r="D110" s="157">
        <v>136985</v>
      </c>
      <c r="E110" s="157">
        <f t="shared" si="4"/>
        <v>29860</v>
      </c>
      <c r="F110" s="161">
        <f t="shared" si="5"/>
        <v>0.27873978996499416</v>
      </c>
    </row>
    <row r="111" spans="1:6" ht="15" customHeight="1" x14ac:dyDescent="0.2">
      <c r="A111" s="147">
        <v>9</v>
      </c>
      <c r="B111" s="169" t="s">
        <v>241</v>
      </c>
      <c r="C111" s="157">
        <v>438190</v>
      </c>
      <c r="D111" s="157">
        <v>441348</v>
      </c>
      <c r="E111" s="157">
        <f t="shared" si="4"/>
        <v>3158</v>
      </c>
      <c r="F111" s="161">
        <f t="shared" si="5"/>
        <v>7.2069193728747805E-3</v>
      </c>
    </row>
    <row r="112" spans="1:6" ht="15" customHeight="1" x14ac:dyDescent="0.2">
      <c r="A112" s="147">
        <v>10</v>
      </c>
      <c r="B112" s="169" t="s">
        <v>242</v>
      </c>
      <c r="C112" s="157">
        <v>1462722</v>
      </c>
      <c r="D112" s="157">
        <v>1477747</v>
      </c>
      <c r="E112" s="157">
        <f t="shared" si="4"/>
        <v>15025</v>
      </c>
      <c r="F112" s="161">
        <f t="shared" si="5"/>
        <v>1.0271945044923096E-2</v>
      </c>
    </row>
    <row r="113" spans="1:6" ht="15" customHeight="1" x14ac:dyDescent="0.2">
      <c r="A113" s="147">
        <v>11</v>
      </c>
      <c r="B113" s="169" t="s">
        <v>243</v>
      </c>
      <c r="C113" s="157">
        <v>1152059</v>
      </c>
      <c r="D113" s="157">
        <v>1333724</v>
      </c>
      <c r="E113" s="157">
        <f t="shared" si="4"/>
        <v>181665</v>
      </c>
      <c r="F113" s="161">
        <f t="shared" si="5"/>
        <v>0.15768723650438041</v>
      </c>
    </row>
    <row r="114" spans="1:6" ht="15" customHeight="1" x14ac:dyDescent="0.2">
      <c r="A114" s="147">
        <v>12</v>
      </c>
      <c r="B114" s="169" t="s">
        <v>244</v>
      </c>
      <c r="C114" s="157">
        <v>95663</v>
      </c>
      <c r="D114" s="157">
        <v>19596</v>
      </c>
      <c r="E114" s="157">
        <f t="shared" si="4"/>
        <v>-76067</v>
      </c>
      <c r="F114" s="161">
        <f t="shared" si="5"/>
        <v>-0.79515591189906232</v>
      </c>
    </row>
    <row r="115" spans="1:6" ht="15" customHeight="1" x14ac:dyDescent="0.2">
      <c r="A115" s="147">
        <v>13</v>
      </c>
      <c r="B115" s="169" t="s">
        <v>245</v>
      </c>
      <c r="C115" s="157">
        <v>2115570</v>
      </c>
      <c r="D115" s="157">
        <v>1976345</v>
      </c>
      <c r="E115" s="157">
        <f t="shared" si="4"/>
        <v>-139225</v>
      </c>
      <c r="F115" s="161">
        <f t="shared" si="5"/>
        <v>-6.5809687223774213E-2</v>
      </c>
    </row>
    <row r="116" spans="1:6" ht="15" customHeight="1" x14ac:dyDescent="0.2">
      <c r="A116" s="147">
        <v>14</v>
      </c>
      <c r="B116" s="169" t="s">
        <v>246</v>
      </c>
      <c r="C116" s="157">
        <v>236404</v>
      </c>
      <c r="D116" s="157">
        <v>244291</v>
      </c>
      <c r="E116" s="157">
        <f t="shared" si="4"/>
        <v>7887</v>
      </c>
      <c r="F116" s="161">
        <f t="shared" si="5"/>
        <v>3.3362379655166578E-2</v>
      </c>
    </row>
    <row r="117" spans="1:6" ht="15" customHeight="1" x14ac:dyDescent="0.2">
      <c r="A117" s="147">
        <v>15</v>
      </c>
      <c r="B117" s="169" t="s">
        <v>203</v>
      </c>
      <c r="C117" s="157">
        <v>742552</v>
      </c>
      <c r="D117" s="157">
        <v>952582</v>
      </c>
      <c r="E117" s="157">
        <f t="shared" si="4"/>
        <v>210030</v>
      </c>
      <c r="F117" s="161">
        <f t="shared" si="5"/>
        <v>0.28284887792370095</v>
      </c>
    </row>
    <row r="118" spans="1:6" ht="15" customHeight="1" x14ac:dyDescent="0.2">
      <c r="A118" s="147">
        <v>16</v>
      </c>
      <c r="B118" s="169" t="s">
        <v>247</v>
      </c>
      <c r="C118" s="157">
        <v>364608</v>
      </c>
      <c r="D118" s="157">
        <v>469603</v>
      </c>
      <c r="E118" s="157">
        <f t="shared" si="4"/>
        <v>104995</v>
      </c>
      <c r="F118" s="161">
        <f t="shared" si="5"/>
        <v>0.28796680270317709</v>
      </c>
    </row>
    <row r="119" spans="1:6" ht="15" customHeight="1" x14ac:dyDescent="0.2">
      <c r="A119" s="147">
        <v>17</v>
      </c>
      <c r="B119" s="169" t="s">
        <v>248</v>
      </c>
      <c r="C119" s="157">
        <v>3122945</v>
      </c>
      <c r="D119" s="157">
        <v>3185214</v>
      </c>
      <c r="E119" s="157">
        <f t="shared" si="4"/>
        <v>62269</v>
      </c>
      <c r="F119" s="161">
        <f t="shared" si="5"/>
        <v>1.9939192012667532E-2</v>
      </c>
    </row>
    <row r="120" spans="1:6" ht="15" customHeight="1" x14ac:dyDescent="0.2">
      <c r="A120" s="147">
        <v>18</v>
      </c>
      <c r="B120" s="169" t="s">
        <v>249</v>
      </c>
      <c r="C120" s="157">
        <v>5281875</v>
      </c>
      <c r="D120" s="157">
        <v>1841835</v>
      </c>
      <c r="E120" s="157">
        <f t="shared" si="4"/>
        <v>-3440040</v>
      </c>
      <c r="F120" s="161">
        <f t="shared" si="5"/>
        <v>-0.65129144479943202</v>
      </c>
    </row>
    <row r="121" spans="1:6" ht="15.75" customHeight="1" x14ac:dyDescent="0.25">
      <c r="A121" s="147"/>
      <c r="B121" s="165" t="s">
        <v>250</v>
      </c>
      <c r="C121" s="158">
        <f>SUM(C103:C120)</f>
        <v>22781498</v>
      </c>
      <c r="D121" s="158">
        <f>SUM(D103:D120)</f>
        <v>20913733</v>
      </c>
      <c r="E121" s="158">
        <f t="shared" si="4"/>
        <v>-1867765</v>
      </c>
      <c r="F121" s="159">
        <f t="shared" si="5"/>
        <v>-8.1986048503044001E-2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576006</v>
      </c>
      <c r="D124" s="157">
        <v>790636</v>
      </c>
      <c r="E124" s="157">
        <f t="shared" ref="E124:E130" si="6">D124-C124</f>
        <v>214630</v>
      </c>
      <c r="F124" s="161">
        <f t="shared" ref="F124:F130" si="7">IF(C124=0,0,E124/C124)</f>
        <v>0.37261764634396172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982774</v>
      </c>
      <c r="D126" s="157">
        <v>1198333</v>
      </c>
      <c r="E126" s="157">
        <f t="shared" si="6"/>
        <v>215559</v>
      </c>
      <c r="F126" s="161">
        <f t="shared" si="7"/>
        <v>0.21933730440569246</v>
      </c>
    </row>
    <row r="127" spans="1:6" ht="15" customHeight="1" x14ac:dyDescent="0.2">
      <c r="A127" s="147">
        <v>4</v>
      </c>
      <c r="B127" s="169" t="s">
        <v>255</v>
      </c>
      <c r="C127" s="157">
        <v>734165</v>
      </c>
      <c r="D127" s="157">
        <v>1141025</v>
      </c>
      <c r="E127" s="157">
        <f t="shared" si="6"/>
        <v>406860</v>
      </c>
      <c r="F127" s="161">
        <f t="shared" si="7"/>
        <v>0.55418059972894373</v>
      </c>
    </row>
    <row r="128" spans="1:6" ht="15" customHeight="1" x14ac:dyDescent="0.2">
      <c r="A128" s="147">
        <v>5</v>
      </c>
      <c r="B128" s="169" t="s">
        <v>256</v>
      </c>
      <c r="C128" s="157">
        <v>267756</v>
      </c>
      <c r="D128" s="157">
        <v>343700</v>
      </c>
      <c r="E128" s="157">
        <f t="shared" si="6"/>
        <v>75944</v>
      </c>
      <c r="F128" s="161">
        <f t="shared" si="7"/>
        <v>0.28363136587041932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2560701</v>
      </c>
      <c r="D130" s="158">
        <f>SUM(D124:D129)</f>
        <v>3473694</v>
      </c>
      <c r="E130" s="158">
        <f t="shared" si="6"/>
        <v>912993</v>
      </c>
      <c r="F130" s="159">
        <f t="shared" si="7"/>
        <v>0.35654025987415167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1994380</v>
      </c>
      <c r="D133" s="157">
        <v>2389476</v>
      </c>
      <c r="E133" s="157">
        <f t="shared" ref="E133:E167" si="8">D133-C133</f>
        <v>395096</v>
      </c>
      <c r="F133" s="161">
        <f t="shared" ref="F133:F167" si="9">IF(C133=0,0,E133/C133)</f>
        <v>0.19810467413431743</v>
      </c>
    </row>
    <row r="134" spans="1:6" ht="15" customHeight="1" x14ac:dyDescent="0.2">
      <c r="A134" s="147">
        <v>2</v>
      </c>
      <c r="B134" s="169" t="s">
        <v>261</v>
      </c>
      <c r="C134" s="157">
        <v>446713</v>
      </c>
      <c r="D134" s="157">
        <v>551221</v>
      </c>
      <c r="E134" s="157">
        <f t="shared" si="8"/>
        <v>104508</v>
      </c>
      <c r="F134" s="161">
        <f t="shared" si="9"/>
        <v>0.23394886649817667</v>
      </c>
    </row>
    <row r="135" spans="1:6" ht="15" customHeight="1" x14ac:dyDescent="0.2">
      <c r="A135" s="147">
        <v>3</v>
      </c>
      <c r="B135" s="169" t="s">
        <v>262</v>
      </c>
      <c r="C135" s="157">
        <v>105432</v>
      </c>
      <c r="D135" s="157">
        <v>103646</v>
      </c>
      <c r="E135" s="157">
        <f t="shared" si="8"/>
        <v>-1786</v>
      </c>
      <c r="F135" s="161">
        <f t="shared" si="9"/>
        <v>-1.6939828515061841E-2</v>
      </c>
    </row>
    <row r="136" spans="1:6" ht="15" customHeight="1" x14ac:dyDescent="0.2">
      <c r="A136" s="147">
        <v>4</v>
      </c>
      <c r="B136" s="169" t="s">
        <v>263</v>
      </c>
      <c r="C136" s="157">
        <v>117196</v>
      </c>
      <c r="D136" s="157">
        <v>0</v>
      </c>
      <c r="E136" s="157">
        <f t="shared" si="8"/>
        <v>-117196</v>
      </c>
      <c r="F136" s="161">
        <f t="shared" si="9"/>
        <v>-1</v>
      </c>
    </row>
    <row r="137" spans="1:6" ht="15" customHeight="1" x14ac:dyDescent="0.2">
      <c r="A137" s="147">
        <v>5</v>
      </c>
      <c r="B137" s="169" t="s">
        <v>264</v>
      </c>
      <c r="C137" s="157">
        <v>2877345</v>
      </c>
      <c r="D137" s="157">
        <v>2125937</v>
      </c>
      <c r="E137" s="157">
        <f t="shared" si="8"/>
        <v>-751408</v>
      </c>
      <c r="F137" s="161">
        <f t="shared" si="9"/>
        <v>-0.26114629980068432</v>
      </c>
    </row>
    <row r="138" spans="1:6" ht="15" customHeight="1" x14ac:dyDescent="0.2">
      <c r="A138" s="147">
        <v>6</v>
      </c>
      <c r="B138" s="169" t="s">
        <v>265</v>
      </c>
      <c r="C138" s="157">
        <v>436449</v>
      </c>
      <c r="D138" s="157">
        <v>531573</v>
      </c>
      <c r="E138" s="157">
        <f t="shared" si="8"/>
        <v>95124</v>
      </c>
      <c r="F138" s="161">
        <f t="shared" si="9"/>
        <v>0.21794986355794146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0</v>
      </c>
      <c r="E139" s="157">
        <f t="shared" si="8"/>
        <v>0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0</v>
      </c>
      <c r="D140" s="157">
        <v>0</v>
      </c>
      <c r="E140" s="157">
        <f t="shared" si="8"/>
        <v>0</v>
      </c>
      <c r="F140" s="161">
        <f t="shared" si="9"/>
        <v>0</v>
      </c>
    </row>
    <row r="141" spans="1:6" ht="15" customHeight="1" x14ac:dyDescent="0.2">
      <c r="A141" s="147">
        <v>9</v>
      </c>
      <c r="B141" s="169" t="s">
        <v>268</v>
      </c>
      <c r="C141" s="157">
        <v>529004</v>
      </c>
      <c r="D141" s="157">
        <v>596659</v>
      </c>
      <c r="E141" s="157">
        <f t="shared" si="8"/>
        <v>67655</v>
      </c>
      <c r="F141" s="161">
        <f t="shared" si="9"/>
        <v>0.12789128248557666</v>
      </c>
    </row>
    <row r="142" spans="1:6" ht="15" customHeight="1" x14ac:dyDescent="0.2">
      <c r="A142" s="147">
        <v>10</v>
      </c>
      <c r="B142" s="169" t="s">
        <v>269</v>
      </c>
      <c r="C142" s="157">
        <v>3942960</v>
      </c>
      <c r="D142" s="157">
        <v>4254080</v>
      </c>
      <c r="E142" s="157">
        <f t="shared" si="8"/>
        <v>311120</v>
      </c>
      <c r="F142" s="161">
        <f t="shared" si="9"/>
        <v>7.8905187980603406E-2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0</v>
      </c>
      <c r="D144" s="157">
        <v>0</v>
      </c>
      <c r="E144" s="157">
        <f t="shared" si="8"/>
        <v>0</v>
      </c>
      <c r="F144" s="161">
        <f t="shared" si="9"/>
        <v>0</v>
      </c>
    </row>
    <row r="145" spans="1:6" ht="15" customHeight="1" x14ac:dyDescent="0.2">
      <c r="A145" s="147">
        <v>13</v>
      </c>
      <c r="B145" s="169" t="s">
        <v>272</v>
      </c>
      <c r="C145" s="157">
        <v>82770</v>
      </c>
      <c r="D145" s="157">
        <v>89071</v>
      </c>
      <c r="E145" s="157">
        <f t="shared" si="8"/>
        <v>6301</v>
      </c>
      <c r="F145" s="161">
        <f t="shared" si="9"/>
        <v>7.6126615923643837E-2</v>
      </c>
    </row>
    <row r="146" spans="1:6" ht="15" customHeight="1" x14ac:dyDescent="0.2">
      <c r="A146" s="147">
        <v>14</v>
      </c>
      <c r="B146" s="169" t="s">
        <v>273</v>
      </c>
      <c r="C146" s="157">
        <v>8512</v>
      </c>
      <c r="D146" s="157">
        <v>5688</v>
      </c>
      <c r="E146" s="157">
        <f t="shared" si="8"/>
        <v>-2824</v>
      </c>
      <c r="F146" s="161">
        <f t="shared" si="9"/>
        <v>-0.3317669172932331</v>
      </c>
    </row>
    <row r="147" spans="1:6" ht="15" customHeight="1" x14ac:dyDescent="0.2">
      <c r="A147" s="147">
        <v>15</v>
      </c>
      <c r="B147" s="169" t="s">
        <v>274</v>
      </c>
      <c r="C147" s="157">
        <v>64330</v>
      </c>
      <c r="D147" s="157">
        <v>140071</v>
      </c>
      <c r="E147" s="157">
        <f t="shared" si="8"/>
        <v>75741</v>
      </c>
      <c r="F147" s="161">
        <f t="shared" si="9"/>
        <v>1.1773822477848592</v>
      </c>
    </row>
    <row r="148" spans="1:6" ht="15" customHeight="1" x14ac:dyDescent="0.2">
      <c r="A148" s="147">
        <v>16</v>
      </c>
      <c r="B148" s="169" t="s">
        <v>275</v>
      </c>
      <c r="C148" s="157">
        <v>39853</v>
      </c>
      <c r="D148" s="157">
        <v>39185</v>
      </c>
      <c r="E148" s="157">
        <f t="shared" si="8"/>
        <v>-668</v>
      </c>
      <c r="F148" s="161">
        <f t="shared" si="9"/>
        <v>-1.6761598875868818E-2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838569</v>
      </c>
      <c r="D150" s="157">
        <v>1032673</v>
      </c>
      <c r="E150" s="157">
        <f t="shared" si="8"/>
        <v>194104</v>
      </c>
      <c r="F150" s="161">
        <f t="shared" si="9"/>
        <v>0.23147051703556892</v>
      </c>
    </row>
    <row r="151" spans="1:6" ht="15" customHeight="1" x14ac:dyDescent="0.2">
      <c r="A151" s="147">
        <v>19</v>
      </c>
      <c r="B151" s="169" t="s">
        <v>278</v>
      </c>
      <c r="C151" s="157">
        <v>111177</v>
      </c>
      <c r="D151" s="157">
        <v>131840</v>
      </c>
      <c r="E151" s="157">
        <f t="shared" si="8"/>
        <v>20663</v>
      </c>
      <c r="F151" s="161">
        <f t="shared" si="9"/>
        <v>0.18585678692535326</v>
      </c>
    </row>
    <row r="152" spans="1:6" ht="15" customHeight="1" x14ac:dyDescent="0.2">
      <c r="A152" s="147">
        <v>20</v>
      </c>
      <c r="B152" s="169" t="s">
        <v>279</v>
      </c>
      <c r="C152" s="157">
        <v>322972</v>
      </c>
      <c r="D152" s="157">
        <v>292198</v>
      </c>
      <c r="E152" s="157">
        <f t="shared" si="8"/>
        <v>-30774</v>
      </c>
      <c r="F152" s="161">
        <f t="shared" si="9"/>
        <v>-9.5283801691787517E-2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119767</v>
      </c>
      <c r="D155" s="157">
        <v>125760</v>
      </c>
      <c r="E155" s="157">
        <f t="shared" si="8"/>
        <v>5993</v>
      </c>
      <c r="F155" s="161">
        <f t="shared" si="9"/>
        <v>5.0038825385957733E-2</v>
      </c>
    </row>
    <row r="156" spans="1:6" ht="15" customHeight="1" x14ac:dyDescent="0.2">
      <c r="A156" s="147">
        <v>24</v>
      </c>
      <c r="B156" s="169" t="s">
        <v>283</v>
      </c>
      <c r="C156" s="157">
        <v>5342183</v>
      </c>
      <c r="D156" s="157">
        <v>8938819</v>
      </c>
      <c r="E156" s="157">
        <f t="shared" si="8"/>
        <v>3596636</v>
      </c>
      <c r="F156" s="161">
        <f t="shared" si="9"/>
        <v>0.67325211435100596</v>
      </c>
    </row>
    <row r="157" spans="1:6" ht="15" customHeight="1" x14ac:dyDescent="0.2">
      <c r="A157" s="147">
        <v>25</v>
      </c>
      <c r="B157" s="169" t="s">
        <v>284</v>
      </c>
      <c r="C157" s="157">
        <v>393790</v>
      </c>
      <c r="D157" s="157">
        <v>455317</v>
      </c>
      <c r="E157" s="157">
        <f t="shared" si="8"/>
        <v>61527</v>
      </c>
      <c r="F157" s="161">
        <f t="shared" si="9"/>
        <v>0.15624317529647783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60932</v>
      </c>
      <c r="D159" s="157">
        <v>70915</v>
      </c>
      <c r="E159" s="157">
        <f t="shared" si="8"/>
        <v>9983</v>
      </c>
      <c r="F159" s="161">
        <f t="shared" si="9"/>
        <v>0.1638383772073787</v>
      </c>
    </row>
    <row r="160" spans="1:6" ht="15" customHeight="1" x14ac:dyDescent="0.2">
      <c r="A160" s="147">
        <v>28</v>
      </c>
      <c r="B160" s="169" t="s">
        <v>287</v>
      </c>
      <c r="C160" s="157">
        <v>586026</v>
      </c>
      <c r="D160" s="157">
        <v>501674</v>
      </c>
      <c r="E160" s="157">
        <f t="shared" si="8"/>
        <v>-84352</v>
      </c>
      <c r="F160" s="161">
        <f t="shared" si="9"/>
        <v>-0.14393900611918242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587094</v>
      </c>
      <c r="D164" s="157">
        <v>611272</v>
      </c>
      <c r="E164" s="157">
        <f t="shared" si="8"/>
        <v>24178</v>
      </c>
      <c r="F164" s="161">
        <f t="shared" si="9"/>
        <v>4.1182502290944889E-2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12895860</v>
      </c>
      <c r="D166" s="157">
        <v>8940435</v>
      </c>
      <c r="E166" s="157">
        <f t="shared" si="8"/>
        <v>-3955425</v>
      </c>
      <c r="F166" s="161">
        <f t="shared" si="9"/>
        <v>-0.30672052891393053</v>
      </c>
    </row>
    <row r="167" spans="1:6" ht="15.75" customHeight="1" x14ac:dyDescent="0.25">
      <c r="A167" s="147"/>
      <c r="B167" s="165" t="s">
        <v>294</v>
      </c>
      <c r="C167" s="158">
        <f>SUM(C133:C166)</f>
        <v>31903314</v>
      </c>
      <c r="D167" s="158">
        <f>SUM(D133:D166)</f>
        <v>31927510</v>
      </c>
      <c r="E167" s="158">
        <f t="shared" si="8"/>
        <v>24196</v>
      </c>
      <c r="F167" s="159">
        <f t="shared" si="9"/>
        <v>7.5841650807812627E-4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7058489</v>
      </c>
      <c r="D170" s="157">
        <v>7000144</v>
      </c>
      <c r="E170" s="157">
        <f t="shared" ref="E170:E183" si="10">D170-C170</f>
        <v>-58345</v>
      </c>
      <c r="F170" s="161">
        <f t="shared" ref="F170:F183" si="11">IF(C170=0,0,E170/C170)</f>
        <v>-8.2659334030271911E-3</v>
      </c>
    </row>
    <row r="171" spans="1:6" ht="15" customHeight="1" x14ac:dyDescent="0.2">
      <c r="A171" s="147">
        <v>2</v>
      </c>
      <c r="B171" s="169" t="s">
        <v>297</v>
      </c>
      <c r="C171" s="157">
        <v>2184526</v>
      </c>
      <c r="D171" s="157">
        <v>2747664</v>
      </c>
      <c r="E171" s="157">
        <f t="shared" si="10"/>
        <v>563138</v>
      </c>
      <c r="F171" s="161">
        <f t="shared" si="11"/>
        <v>0.25778498401941657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0</v>
      </c>
      <c r="D173" s="157">
        <v>0</v>
      </c>
      <c r="E173" s="157">
        <f t="shared" si="10"/>
        <v>0</v>
      </c>
      <c r="F173" s="161">
        <f t="shared" si="11"/>
        <v>0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595115</v>
      </c>
      <c r="D175" s="157">
        <v>0</v>
      </c>
      <c r="E175" s="157">
        <f t="shared" si="10"/>
        <v>-595115</v>
      </c>
      <c r="F175" s="161">
        <f t="shared" si="11"/>
        <v>-1</v>
      </c>
    </row>
    <row r="176" spans="1:6" ht="15" customHeight="1" x14ac:dyDescent="0.2">
      <c r="A176" s="147">
        <v>7</v>
      </c>
      <c r="B176" s="169" t="s">
        <v>302</v>
      </c>
      <c r="C176" s="157">
        <v>562540</v>
      </c>
      <c r="D176" s="157">
        <v>0</v>
      </c>
      <c r="E176" s="157">
        <f t="shared" si="10"/>
        <v>-562540</v>
      </c>
      <c r="F176" s="161">
        <f t="shared" si="11"/>
        <v>-1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1019905</v>
      </c>
      <c r="D179" s="157">
        <v>1236253</v>
      </c>
      <c r="E179" s="157">
        <f t="shared" si="10"/>
        <v>216348</v>
      </c>
      <c r="F179" s="161">
        <f t="shared" si="11"/>
        <v>0.21212563915266619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11420575</v>
      </c>
      <c r="D183" s="158">
        <f>SUM(D170:D182)</f>
        <v>10984061</v>
      </c>
      <c r="E183" s="158">
        <f t="shared" si="10"/>
        <v>-436514</v>
      </c>
      <c r="F183" s="159">
        <f t="shared" si="11"/>
        <v>-3.8221718258493992E-2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68666088</v>
      </c>
      <c r="D188" s="158">
        <f>+D186+D183+D167+D130+D121</f>
        <v>67298998</v>
      </c>
      <c r="E188" s="158">
        <f>D188-C188</f>
        <v>-1367090</v>
      </c>
      <c r="F188" s="159">
        <f>IF(C188=0,0,E188/C188)</f>
        <v>-1.9909245448786889E-2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FILING&amp;RMILFORD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63500794</v>
      </c>
      <c r="D11" s="183">
        <v>60372640</v>
      </c>
      <c r="E11" s="76">
        <v>62023918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1352459</v>
      </c>
      <c r="D12" s="185">
        <v>3567807</v>
      </c>
      <c r="E12" s="185">
        <v>5924574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64853253</v>
      </c>
      <c r="D13" s="76">
        <f>+D11+D12</f>
        <v>63940447</v>
      </c>
      <c r="E13" s="76">
        <f>+E11+E12</f>
        <v>67948492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72076598</v>
      </c>
      <c r="D14" s="185">
        <v>68666088</v>
      </c>
      <c r="E14" s="185">
        <v>67298998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-7223345</v>
      </c>
      <c r="D15" s="76">
        <f>+D13-D14</f>
        <v>-4725641</v>
      </c>
      <c r="E15" s="76">
        <f>+E13-E14</f>
        <v>649494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19611</v>
      </c>
      <c r="D16" s="185">
        <v>111904</v>
      </c>
      <c r="E16" s="185">
        <v>102709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-7203734</v>
      </c>
      <c r="D17" s="76">
        <f>D15+D16</f>
        <v>-4613737</v>
      </c>
      <c r="E17" s="76">
        <f>E15+E16</f>
        <v>752203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-0.11134617087354121</v>
      </c>
      <c r="D20" s="189">
        <f>IF(+D27=0,0,+D24/+D27)</f>
        <v>-7.3777791544294757E-2</v>
      </c>
      <c r="E20" s="189">
        <f>IF(+E27=0,0,+E24/+E27)</f>
        <v>9.5441959944248447E-3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3.0229897049095908E-4</v>
      </c>
      <c r="D21" s="189">
        <f>IF(D27=0,0,+D26/D27)</f>
        <v>1.7470709232827379E-3</v>
      </c>
      <c r="E21" s="189">
        <f>IF(E27=0,0,+E26/E27)</f>
        <v>1.5092900417731055E-3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-0.11104387190305025</v>
      </c>
      <c r="D22" s="189">
        <f>IF(D27=0,0,+D28/D27)</f>
        <v>-7.2030720621012026E-2</v>
      </c>
      <c r="E22" s="189">
        <f>IF(E27=0,0,+E28/E27)</f>
        <v>1.105348603619795E-2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-7223345</v>
      </c>
      <c r="D24" s="76">
        <f>+D15</f>
        <v>-4725641</v>
      </c>
      <c r="E24" s="76">
        <f>+E15</f>
        <v>649494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64853253</v>
      </c>
      <c r="D25" s="76">
        <f>+D13</f>
        <v>63940447</v>
      </c>
      <c r="E25" s="76">
        <f>+E13</f>
        <v>67948492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19611</v>
      </c>
      <c r="D26" s="76">
        <f>+D16</f>
        <v>111904</v>
      </c>
      <c r="E26" s="76">
        <f>+E16</f>
        <v>102709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64872864</v>
      </c>
      <c r="D27" s="76">
        <f>+D25+D26</f>
        <v>64052351</v>
      </c>
      <c r="E27" s="76">
        <f>+E25+E26</f>
        <v>68051201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-7203734</v>
      </c>
      <c r="D28" s="76">
        <f>+D17</f>
        <v>-4613737</v>
      </c>
      <c r="E28" s="76">
        <f>+E17</f>
        <v>752203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-2536448</v>
      </c>
      <c r="D31" s="76">
        <v>-22867574</v>
      </c>
      <c r="E31" s="76">
        <v>-29978671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-1022209</v>
      </c>
      <c r="D32" s="76">
        <v>-21367134</v>
      </c>
      <c r="E32" s="76">
        <v>-28207745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-9628306</v>
      </c>
      <c r="D33" s="76">
        <f>+D32-C32</f>
        <v>-20344925</v>
      </c>
      <c r="E33" s="76">
        <f>+E32-D32</f>
        <v>-6840611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-0.1187</v>
      </c>
      <c r="D34" s="193">
        <f>IF(C32=0,0,+D33/C32)</f>
        <v>19.902901461442816</v>
      </c>
      <c r="E34" s="193">
        <f>IF(D32=0,0,+E33/D32)</f>
        <v>0.3201463986700322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0.36281980025263477</v>
      </c>
      <c r="D38" s="195">
        <f>IF((D40+D41)=0,0,+D39/(D40+D41))</f>
        <v>0.34007389409055827</v>
      </c>
      <c r="E38" s="195">
        <f>IF((E40+E41)=0,0,+E39/(E40+E41))</f>
        <v>0.31492617791186833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72076598</v>
      </c>
      <c r="D39" s="76">
        <v>68666088</v>
      </c>
      <c r="E39" s="196">
        <v>67298998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197304279</v>
      </c>
      <c r="D40" s="76">
        <v>201245838</v>
      </c>
      <c r="E40" s="196">
        <v>207773120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1352459</v>
      </c>
      <c r="D41" s="76">
        <v>669361</v>
      </c>
      <c r="E41" s="196">
        <v>5924574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1.1951667225536593</v>
      </c>
      <c r="D43" s="197">
        <f>IF(D38=0,0,IF((D46-D47)=0,0,((+D44-D45)/(D46-D47)/D38)))</f>
        <v>1.252992295420809</v>
      </c>
      <c r="E43" s="197">
        <f>IF(E38=0,0,IF((E46-E47)=0,0,((+E44-E45)/(E46-E47)/E38)))</f>
        <v>1.322053331392687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29844277</v>
      </c>
      <c r="D44" s="76">
        <v>28826063</v>
      </c>
      <c r="E44" s="196">
        <v>29557911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190937</v>
      </c>
      <c r="D45" s="76">
        <v>465795</v>
      </c>
      <c r="E45" s="196">
        <v>500000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72984179</v>
      </c>
      <c r="D46" s="76">
        <v>71214161</v>
      </c>
      <c r="E46" s="196">
        <v>74976571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4600235</v>
      </c>
      <c r="D47" s="76">
        <v>4657943</v>
      </c>
      <c r="E47" s="76">
        <v>5184409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0.80077528063329706</v>
      </c>
      <c r="D49" s="198">
        <f>IF(D38=0,0,IF(D51=0,0,(D50/D51)/D38))</f>
        <v>0.76512310900835878</v>
      </c>
      <c r="E49" s="198">
        <f>IF(E38=0,0,IF(E51=0,0,(E50/E51)/E38))</f>
        <v>0.8209990293595868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28561974</v>
      </c>
      <c r="D50" s="199">
        <v>26820528</v>
      </c>
      <c r="E50" s="199">
        <v>27421063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98307484</v>
      </c>
      <c r="D51" s="199">
        <v>103077223</v>
      </c>
      <c r="E51" s="199">
        <v>106055423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0.69293293451779847</v>
      </c>
      <c r="D53" s="198">
        <f>IF(D38=0,0,IF(D55=0,0,(D54/D55)/D38))</f>
        <v>0.71145351969428205</v>
      </c>
      <c r="E53" s="198">
        <f>IF(E38=0,0,IF(E55=0,0,(E54/E55)/E38))</f>
        <v>0.68400568266267003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6400006</v>
      </c>
      <c r="D54" s="199">
        <v>6411135</v>
      </c>
      <c r="E54" s="199">
        <v>5635340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25456471</v>
      </c>
      <c r="D55" s="199">
        <v>26498122</v>
      </c>
      <c r="E55" s="199">
        <v>26160838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2245166.6572225303</v>
      </c>
      <c r="D57" s="88">
        <f>+D60*D38</f>
        <v>1292979.3093225835</v>
      </c>
      <c r="E57" s="88">
        <f>+E60*E38</f>
        <v>1348850.23497663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579795</v>
      </c>
      <c r="D58" s="199">
        <v>245354</v>
      </c>
      <c r="E58" s="199">
        <v>300473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5608309</v>
      </c>
      <c r="D59" s="199">
        <v>3556700</v>
      </c>
      <c r="E59" s="199">
        <v>3982595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6188104</v>
      </c>
      <c r="D60" s="76">
        <v>3802054</v>
      </c>
      <c r="E60" s="201">
        <v>4283068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3.1149731251501774E-2</v>
      </c>
      <c r="D62" s="202">
        <f>IF(D63=0,0,+D57/D63)</f>
        <v>1.8829954450333381E-2</v>
      </c>
      <c r="E62" s="202">
        <f>IF(E63=0,0,+E57/E63)</f>
        <v>2.0042649594524869E-2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72076598</v>
      </c>
      <c r="D63" s="199">
        <v>68666088</v>
      </c>
      <c r="E63" s="199">
        <v>67298998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0.97556863217539969</v>
      </c>
      <c r="D67" s="203">
        <f>IF(D69=0,0,D68/D69)</f>
        <v>0.94961995000822896</v>
      </c>
      <c r="E67" s="203">
        <f>IF(E69=0,0,E68/E69)</f>
        <v>0.97692083127060958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18171554</v>
      </c>
      <c r="D68" s="204">
        <v>15307734</v>
      </c>
      <c r="E68" s="204">
        <v>12572298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18626628</v>
      </c>
      <c r="D69" s="204">
        <v>16119853</v>
      </c>
      <c r="E69" s="204">
        <v>12869311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36.839635603018571</v>
      </c>
      <c r="D71" s="203">
        <f>IF((D77/365)=0,0,+D74/(D77/365))</f>
        <v>25.956012912238048</v>
      </c>
      <c r="E71" s="203">
        <f>IF((E77/365)=0,0,+E74/(E77/365))</f>
        <v>20.091812417808509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6892694</v>
      </c>
      <c r="D72" s="183">
        <v>1171348</v>
      </c>
      <c r="E72" s="183">
        <v>2256558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110778</v>
      </c>
      <c r="D73" s="206">
        <v>3536565</v>
      </c>
      <c r="E73" s="206">
        <v>1318374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7003472</v>
      </c>
      <c r="D74" s="204">
        <f>+D72+D73</f>
        <v>4707913</v>
      </c>
      <c r="E74" s="204">
        <f>+E72+E73</f>
        <v>3574932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72076598</v>
      </c>
      <c r="D75" s="204">
        <f>+D14</f>
        <v>68666088</v>
      </c>
      <c r="E75" s="204">
        <f>+E14</f>
        <v>67298998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2687549</v>
      </c>
      <c r="D76" s="204">
        <v>2462228</v>
      </c>
      <c r="E76" s="204">
        <v>2354624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69389049</v>
      </c>
      <c r="D77" s="204">
        <f>+D75-D76</f>
        <v>66203860</v>
      </c>
      <c r="E77" s="204">
        <f>+E75-E76</f>
        <v>64944374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38.078203478841544</v>
      </c>
      <c r="D79" s="203">
        <f>IF((D84/365)=0,0,+D83/(D84/365))</f>
        <v>45.703722166199789</v>
      </c>
      <c r="E79" s="203">
        <f>IF((E84/365)=0,0,+E83/(E84/365))</f>
        <v>34.812874365660036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8850797</v>
      </c>
      <c r="D80" s="212">
        <v>8480597</v>
      </c>
      <c r="E80" s="212">
        <v>6548786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2226150</v>
      </c>
      <c r="D82" s="212">
        <v>920996</v>
      </c>
      <c r="E82" s="212">
        <v>633085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6624647</v>
      </c>
      <c r="D83" s="212">
        <f>+D80+D81-D82</f>
        <v>7559601</v>
      </c>
      <c r="E83" s="212">
        <f>+E80+E81-E82</f>
        <v>5915701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63500794</v>
      </c>
      <c r="D84" s="204">
        <f>+D11</f>
        <v>60372640</v>
      </c>
      <c r="E84" s="204">
        <f>+E11</f>
        <v>62023918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97.979714637680075</v>
      </c>
      <c r="D86" s="203">
        <f>IF((D90/365)=0,0,+D87/(D90/365))</f>
        <v>88.87316154979483</v>
      </c>
      <c r="E86" s="203">
        <f>IF((E90/365)=0,0,+E87/(E90/365))</f>
        <v>72.328028213806476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18626628</v>
      </c>
      <c r="D87" s="76">
        <f>+D69</f>
        <v>16119853</v>
      </c>
      <c r="E87" s="76">
        <f>+E69</f>
        <v>12869311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72076598</v>
      </c>
      <c r="D88" s="76">
        <f t="shared" si="0"/>
        <v>68666088</v>
      </c>
      <c r="E88" s="76">
        <f t="shared" si="0"/>
        <v>67298998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2687549</v>
      </c>
      <c r="D89" s="201">
        <f t="shared" si="0"/>
        <v>2462228</v>
      </c>
      <c r="E89" s="201">
        <f t="shared" si="0"/>
        <v>2354624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69389049</v>
      </c>
      <c r="D90" s="76">
        <f>+D88-D89</f>
        <v>66203860</v>
      </c>
      <c r="E90" s="76">
        <f>+E88-E89</f>
        <v>64944374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-2.1775970945290579</v>
      </c>
      <c r="D94" s="214">
        <f>IF(D96=0,0,(D95/D96)*100)</f>
        <v>-50.268343566246408</v>
      </c>
      <c r="E94" s="214">
        <f>IF(E96=0,0,(E95/E96)*100)</f>
        <v>-76.1073342199292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-1022209</v>
      </c>
      <c r="D95" s="76">
        <f>+D32</f>
        <v>-21367134</v>
      </c>
      <c r="E95" s="76">
        <f>+E32</f>
        <v>-28207745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46942063</v>
      </c>
      <c r="D96" s="76">
        <v>42506143</v>
      </c>
      <c r="E96" s="76">
        <v>37063110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-18.338625166222513</v>
      </c>
      <c r="D98" s="214">
        <f>IF(D104=0,0,(D101/D104)*100)</f>
        <v>-8.9200750933266466</v>
      </c>
      <c r="E98" s="214">
        <f>IF(E104=0,0,(E101/E104)*100)</f>
        <v>14.887060718008371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-7203734</v>
      </c>
      <c r="D99" s="76">
        <f>+D28</f>
        <v>-4613737</v>
      </c>
      <c r="E99" s="76">
        <f>+E28</f>
        <v>752203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2687549</v>
      </c>
      <c r="D100" s="201">
        <f>+D76</f>
        <v>2462228</v>
      </c>
      <c r="E100" s="201">
        <f>+E76</f>
        <v>2354624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-4516185</v>
      </c>
      <c r="D101" s="76">
        <f>+D99+D100</f>
        <v>-2151509</v>
      </c>
      <c r="E101" s="76">
        <f>+E99+E100</f>
        <v>3106827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18626628</v>
      </c>
      <c r="D102" s="204">
        <f>+D69</f>
        <v>16119853</v>
      </c>
      <c r="E102" s="204">
        <f>+E69</f>
        <v>12869311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6000000</v>
      </c>
      <c r="D103" s="216">
        <v>8000000</v>
      </c>
      <c r="E103" s="216">
        <v>8000000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24626628</v>
      </c>
      <c r="D104" s="204">
        <f>+D102+D103</f>
        <v>24119853</v>
      </c>
      <c r="E104" s="204">
        <f>+E102+E103</f>
        <v>20869311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120.53539411357367</v>
      </c>
      <c r="D106" s="214">
        <f>IF(D109=0,0,(D107/D109)*100)</f>
        <v>-59.8482816136952</v>
      </c>
      <c r="E106" s="214">
        <f>IF(E109=0,0,(E107/E109)*100)</f>
        <v>-39.588781430090293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6000000</v>
      </c>
      <c r="D107" s="204">
        <f>+D103</f>
        <v>8000000</v>
      </c>
      <c r="E107" s="204">
        <f>+E103</f>
        <v>8000000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-1022209</v>
      </c>
      <c r="D108" s="204">
        <f>+D32</f>
        <v>-21367134</v>
      </c>
      <c r="E108" s="204">
        <f>+E32</f>
        <v>-28207745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4977791</v>
      </c>
      <c r="D109" s="204">
        <f>+D107+D108</f>
        <v>-13367134</v>
      </c>
      <c r="E109" s="204">
        <f>+E107+E108</f>
        <v>-20207745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-166.50189155107188</v>
      </c>
      <c r="D111" s="214">
        <f>IF((+D113+D115)=0,0,((+D112+D113+D114)/(+D113+D115)))</f>
        <v>-24.256911428068321</v>
      </c>
      <c r="E111" s="214">
        <f>IF((+E113+E115)=0,0,((+E112+E113+E114)/(+E113+E115)))</f>
        <v>46.461976323914605</v>
      </c>
    </row>
    <row r="112" spans="1:6" ht="24" customHeight="1" x14ac:dyDescent="0.2">
      <c r="A112" s="85">
        <v>16</v>
      </c>
      <c r="B112" s="75" t="s">
        <v>373</v>
      </c>
      <c r="C112" s="218">
        <f>+C17</f>
        <v>-7203734</v>
      </c>
      <c r="D112" s="76">
        <f>+D17</f>
        <v>-4613737</v>
      </c>
      <c r="E112" s="76">
        <f>+E17</f>
        <v>752203</v>
      </c>
    </row>
    <row r="113" spans="1:8" ht="24" customHeight="1" x14ac:dyDescent="0.2">
      <c r="A113" s="85">
        <v>17</v>
      </c>
      <c r="B113" s="75" t="s">
        <v>88</v>
      </c>
      <c r="C113" s="218">
        <v>26961</v>
      </c>
      <c r="D113" s="76">
        <v>85184</v>
      </c>
      <c r="E113" s="76">
        <v>68338</v>
      </c>
    </row>
    <row r="114" spans="1:8" ht="24" customHeight="1" x14ac:dyDescent="0.2">
      <c r="A114" s="85">
        <v>18</v>
      </c>
      <c r="B114" s="75" t="s">
        <v>374</v>
      </c>
      <c r="C114" s="218">
        <v>2687549</v>
      </c>
      <c r="D114" s="76">
        <v>2462228</v>
      </c>
      <c r="E114" s="76">
        <v>2354624</v>
      </c>
    </row>
    <row r="115" spans="1:8" ht="24" customHeight="1" x14ac:dyDescent="0.2">
      <c r="A115" s="85">
        <v>19</v>
      </c>
      <c r="B115" s="75" t="s">
        <v>104</v>
      </c>
      <c r="C115" s="218">
        <v>1</v>
      </c>
      <c r="D115" s="76">
        <v>1</v>
      </c>
      <c r="E115" s="76">
        <v>1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11.428549209707432</v>
      </c>
      <c r="D119" s="214">
        <f>IF(+D121=0,0,(+D120)/(+D121))</f>
        <v>13.312548634813673</v>
      </c>
      <c r="E119" s="214">
        <f>IF(+E121=0,0,(+E120)/(+E121))</f>
        <v>14.541309355548911</v>
      </c>
    </row>
    <row r="120" spans="1:8" ht="24" customHeight="1" x14ac:dyDescent="0.2">
      <c r="A120" s="85">
        <v>21</v>
      </c>
      <c r="B120" s="75" t="s">
        <v>378</v>
      </c>
      <c r="C120" s="218">
        <v>30714786</v>
      </c>
      <c r="D120" s="218">
        <v>32778530</v>
      </c>
      <c r="E120" s="218">
        <v>34239316</v>
      </c>
    </row>
    <row r="121" spans="1:8" ht="24" customHeight="1" x14ac:dyDescent="0.2">
      <c r="A121" s="85">
        <v>22</v>
      </c>
      <c r="B121" s="75" t="s">
        <v>374</v>
      </c>
      <c r="C121" s="218">
        <v>2687549</v>
      </c>
      <c r="D121" s="218">
        <v>2462228</v>
      </c>
      <c r="E121" s="218">
        <v>2354624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12880</v>
      </c>
      <c r="D124" s="218">
        <v>12110</v>
      </c>
      <c r="E124" s="218">
        <v>11071</v>
      </c>
    </row>
    <row r="125" spans="1:8" ht="24" customHeight="1" x14ac:dyDescent="0.2">
      <c r="A125" s="85">
        <v>2</v>
      </c>
      <c r="B125" s="75" t="s">
        <v>381</v>
      </c>
      <c r="C125" s="218">
        <v>3121</v>
      </c>
      <c r="D125" s="218">
        <v>3201</v>
      </c>
      <c r="E125" s="218">
        <v>2880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4.1268824094841401</v>
      </c>
      <c r="D126" s="219">
        <f>IF(D125=0,0,D124/D125)</f>
        <v>3.7831927522649171</v>
      </c>
      <c r="E126" s="219">
        <f>IF(E125=0,0,E124/E125)</f>
        <v>3.8440972222222221</v>
      </c>
    </row>
    <row r="127" spans="1:8" ht="24" customHeight="1" x14ac:dyDescent="0.2">
      <c r="A127" s="85">
        <v>4</v>
      </c>
      <c r="B127" s="75" t="s">
        <v>383</v>
      </c>
      <c r="C127" s="218">
        <v>43</v>
      </c>
      <c r="D127" s="218">
        <v>41</v>
      </c>
      <c r="E127" s="218">
        <v>31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118</v>
      </c>
      <c r="E128" s="218">
        <v>118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118</v>
      </c>
      <c r="D129" s="218">
        <v>118</v>
      </c>
      <c r="E129" s="218">
        <v>118</v>
      </c>
    </row>
    <row r="130" spans="1:7" ht="24" customHeight="1" x14ac:dyDescent="0.2">
      <c r="A130" s="85">
        <v>7</v>
      </c>
      <c r="B130" s="75" t="s">
        <v>386</v>
      </c>
      <c r="C130" s="193">
        <v>0.8206</v>
      </c>
      <c r="D130" s="193">
        <v>0.80920000000000003</v>
      </c>
      <c r="E130" s="193">
        <v>0.97840000000000005</v>
      </c>
    </row>
    <row r="131" spans="1:7" ht="24" customHeight="1" x14ac:dyDescent="0.2">
      <c r="A131" s="85">
        <v>8</v>
      </c>
      <c r="B131" s="75" t="s">
        <v>387</v>
      </c>
      <c r="C131" s="193">
        <v>0.29899999999999999</v>
      </c>
      <c r="D131" s="193">
        <v>0.28110000000000002</v>
      </c>
      <c r="E131" s="193">
        <v>0.25700000000000001</v>
      </c>
    </row>
    <row r="132" spans="1:7" ht="24" customHeight="1" x14ac:dyDescent="0.2">
      <c r="A132" s="85">
        <v>9</v>
      </c>
      <c r="B132" s="75" t="s">
        <v>388</v>
      </c>
      <c r="C132" s="219">
        <v>468</v>
      </c>
      <c r="D132" s="219">
        <v>444.2</v>
      </c>
      <c r="E132" s="219">
        <v>434.9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0.34659128705465125</v>
      </c>
      <c r="D135" s="227">
        <f>IF(D149=0,0,D143/D149)</f>
        <v>0.33072096626415698</v>
      </c>
      <c r="E135" s="227">
        <f>IF(E149=0,0,E143/E149)</f>
        <v>0.33590563591671529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0.49825317777319972</v>
      </c>
      <c r="D136" s="227">
        <f>IF(D149=0,0,D144/D149)</f>
        <v>0.51219555159197871</v>
      </c>
      <c r="E136" s="227">
        <f>IF(E149=0,0,E144/E149)</f>
        <v>0.51043861207840557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0.12902138326153587</v>
      </c>
      <c r="D137" s="227">
        <f>IF(D149=0,0,D145/D149)</f>
        <v>0.13167040999873994</v>
      </c>
      <c r="E137" s="227">
        <f>IF(E149=0,0,E145/E149)</f>
        <v>0.12591059902262622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1.2993179940106621E-3</v>
      </c>
      <c r="D138" s="227">
        <f>IF(D149=0,0,D146/D149)</f>
        <v>1.5741393866739247E-3</v>
      </c>
      <c r="E138" s="227">
        <f>IF(E149=0,0,E146/E149)</f>
        <v>1.8150615440534368E-3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2.3315434532466477E-2</v>
      </c>
      <c r="D139" s="227">
        <f>IF(D149=0,0,D147/D149)</f>
        <v>2.3145537052050736E-2</v>
      </c>
      <c r="E139" s="227">
        <f>IF(E149=0,0,E147/E149)</f>
        <v>2.4952260427142839E-2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1.5193993841360125E-3</v>
      </c>
      <c r="D140" s="227">
        <f>IF(D149=0,0,D148/D149)</f>
        <v>6.9339570639965239E-4</v>
      </c>
      <c r="E140" s="227">
        <f>IF(E149=0,0,E148/E149)</f>
        <v>9.7783101105667573E-4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68383944</v>
      </c>
      <c r="D143" s="229">
        <f>+D46-D147</f>
        <v>66556218</v>
      </c>
      <c r="E143" s="229">
        <f>+E46-E147</f>
        <v>69792162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98307484</v>
      </c>
      <c r="D144" s="229">
        <f>+D51</f>
        <v>103077223</v>
      </c>
      <c r="E144" s="229">
        <f>+E51</f>
        <v>106055423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25456471</v>
      </c>
      <c r="D145" s="229">
        <f>+D55</f>
        <v>26498122</v>
      </c>
      <c r="E145" s="229">
        <f>+E55</f>
        <v>26160838</v>
      </c>
    </row>
    <row r="146" spans="1:7" ht="20.100000000000001" customHeight="1" x14ac:dyDescent="0.2">
      <c r="A146" s="226">
        <v>11</v>
      </c>
      <c r="B146" s="224" t="s">
        <v>400</v>
      </c>
      <c r="C146" s="228">
        <v>256361</v>
      </c>
      <c r="D146" s="229">
        <v>316789</v>
      </c>
      <c r="E146" s="229">
        <v>377121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4600235</v>
      </c>
      <c r="D147" s="229">
        <f>+D47</f>
        <v>4657943</v>
      </c>
      <c r="E147" s="229">
        <f>+E47</f>
        <v>5184409</v>
      </c>
    </row>
    <row r="148" spans="1:7" ht="20.100000000000001" customHeight="1" x14ac:dyDescent="0.2">
      <c r="A148" s="226">
        <v>13</v>
      </c>
      <c r="B148" s="224" t="s">
        <v>402</v>
      </c>
      <c r="C148" s="230">
        <v>299784</v>
      </c>
      <c r="D148" s="229">
        <v>139543</v>
      </c>
      <c r="E148" s="229">
        <v>203167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197304279</v>
      </c>
      <c r="D149" s="229">
        <f>SUM(D143:D148)</f>
        <v>201245838</v>
      </c>
      <c r="E149" s="229">
        <f>SUM(E143:E148)</f>
        <v>207773120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0.45660044303885861</v>
      </c>
      <c r="D152" s="227">
        <f>IF(D166=0,0,D160/D166)</f>
        <v>0.45618062935088621</v>
      </c>
      <c r="E152" s="227">
        <f>IF(E166=0,0,E160/E166)</f>
        <v>0.46231584513577739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0.4397956514330042</v>
      </c>
      <c r="D153" s="227">
        <f>IF(D166=0,0,D161/D166)</f>
        <v>0.43141360097736259</v>
      </c>
      <c r="E153" s="227">
        <f>IF(E166=0,0,E161/E166)</f>
        <v>0.43627334103151449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9.8546928442170542E-2</v>
      </c>
      <c r="D154" s="227">
        <f>IF(D166=0,0,D162/D166)</f>
        <v>0.10312439921771874</v>
      </c>
      <c r="E154" s="227">
        <f>IF(E166=0,0,E162/E166)</f>
        <v>8.965912844620702E-2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8.2046400192634431E-4</v>
      </c>
      <c r="D155" s="227">
        <f>IF(D166=0,0,D163/D166)</f>
        <v>1.1745253385677583E-3</v>
      </c>
      <c r="E155" s="227">
        <f>IF(E166=0,0,E163/E166)</f>
        <v>2.6901047845938539E-3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2.940037068084423E-3</v>
      </c>
      <c r="D156" s="227">
        <f>IF(D166=0,0,D164/D166)</f>
        <v>7.4924064980096813E-3</v>
      </c>
      <c r="E156" s="227">
        <f>IF(E166=0,0,E164/E166)</f>
        <v>7.9550771068122791E-3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1.296476015955903E-3</v>
      </c>
      <c r="D157" s="227">
        <f>IF(D166=0,0,D165/D166)</f>
        <v>6.1443861745504318E-4</v>
      </c>
      <c r="E157" s="227">
        <f>IF(E166=0,0,E165/E166)</f>
        <v>1.1065034950949472E-3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29653340</v>
      </c>
      <c r="D160" s="229">
        <f>+D44-D164</f>
        <v>28360268</v>
      </c>
      <c r="E160" s="229">
        <f>+E44-E164</f>
        <v>29057911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28561974</v>
      </c>
      <c r="D161" s="229">
        <f>+D50</f>
        <v>26820528</v>
      </c>
      <c r="E161" s="229">
        <f>+E50</f>
        <v>27421063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6400006</v>
      </c>
      <c r="D162" s="229">
        <f>+D54</f>
        <v>6411135</v>
      </c>
      <c r="E162" s="229">
        <f>+E54</f>
        <v>5635340</v>
      </c>
    </row>
    <row r="163" spans="1:6" ht="20.100000000000001" customHeight="1" x14ac:dyDescent="0.2">
      <c r="A163" s="226">
        <v>11</v>
      </c>
      <c r="B163" s="224" t="s">
        <v>415</v>
      </c>
      <c r="C163" s="228">
        <v>53284</v>
      </c>
      <c r="D163" s="229">
        <v>73019</v>
      </c>
      <c r="E163" s="229">
        <v>169081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190937</v>
      </c>
      <c r="D164" s="229">
        <f>+D45</f>
        <v>465795</v>
      </c>
      <c r="E164" s="229">
        <f>+E45</f>
        <v>500000</v>
      </c>
    </row>
    <row r="165" spans="1:6" ht="20.100000000000001" customHeight="1" x14ac:dyDescent="0.2">
      <c r="A165" s="226">
        <v>13</v>
      </c>
      <c r="B165" s="224" t="s">
        <v>417</v>
      </c>
      <c r="C165" s="230">
        <v>84198</v>
      </c>
      <c r="D165" s="229">
        <v>38199</v>
      </c>
      <c r="E165" s="229">
        <v>69547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64943739</v>
      </c>
      <c r="D166" s="229">
        <f>SUM(D160:D165)</f>
        <v>62168944</v>
      </c>
      <c r="E166" s="229">
        <f>SUM(E160:E165)</f>
        <v>62852942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916</v>
      </c>
      <c r="D169" s="218">
        <v>932</v>
      </c>
      <c r="E169" s="218">
        <v>828</v>
      </c>
    </row>
    <row r="170" spans="1:6" ht="20.100000000000001" customHeight="1" x14ac:dyDescent="0.2">
      <c r="A170" s="226">
        <v>2</v>
      </c>
      <c r="B170" s="224" t="s">
        <v>420</v>
      </c>
      <c r="C170" s="218">
        <v>1867</v>
      </c>
      <c r="D170" s="218">
        <v>1941</v>
      </c>
      <c r="E170" s="218">
        <v>1789</v>
      </c>
    </row>
    <row r="171" spans="1:6" ht="20.100000000000001" customHeight="1" x14ac:dyDescent="0.2">
      <c r="A171" s="226">
        <v>3</v>
      </c>
      <c r="B171" s="224" t="s">
        <v>421</v>
      </c>
      <c r="C171" s="218">
        <v>335</v>
      </c>
      <c r="D171" s="218">
        <v>328</v>
      </c>
      <c r="E171" s="218">
        <v>262</v>
      </c>
    </row>
    <row r="172" spans="1:6" ht="20.100000000000001" customHeight="1" x14ac:dyDescent="0.2">
      <c r="A172" s="226">
        <v>4</v>
      </c>
      <c r="B172" s="224" t="s">
        <v>422</v>
      </c>
      <c r="C172" s="218">
        <v>333</v>
      </c>
      <c r="D172" s="218">
        <v>323</v>
      </c>
      <c r="E172" s="218">
        <v>255</v>
      </c>
    </row>
    <row r="173" spans="1:6" ht="20.100000000000001" customHeight="1" x14ac:dyDescent="0.2">
      <c r="A173" s="226">
        <v>5</v>
      </c>
      <c r="B173" s="224" t="s">
        <v>423</v>
      </c>
      <c r="C173" s="218">
        <v>2</v>
      </c>
      <c r="D173" s="218">
        <v>5</v>
      </c>
      <c r="E173" s="218">
        <v>7</v>
      </c>
    </row>
    <row r="174" spans="1:6" ht="20.100000000000001" customHeight="1" x14ac:dyDescent="0.2">
      <c r="A174" s="226">
        <v>6</v>
      </c>
      <c r="B174" s="224" t="s">
        <v>424</v>
      </c>
      <c r="C174" s="218">
        <v>3</v>
      </c>
      <c r="D174" s="218">
        <v>0</v>
      </c>
      <c r="E174" s="218">
        <v>1</v>
      </c>
    </row>
    <row r="175" spans="1:6" ht="20.100000000000001" customHeight="1" x14ac:dyDescent="0.2">
      <c r="A175" s="226">
        <v>7</v>
      </c>
      <c r="B175" s="224" t="s">
        <v>425</v>
      </c>
      <c r="C175" s="218">
        <v>55</v>
      </c>
      <c r="D175" s="218">
        <v>33</v>
      </c>
      <c r="E175" s="218">
        <v>24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3121</v>
      </c>
      <c r="D176" s="218">
        <f>+D169+D170+D171+D174</f>
        <v>3201</v>
      </c>
      <c r="E176" s="218">
        <f>+E169+E170+E171+E174</f>
        <v>2880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1.397</v>
      </c>
      <c r="D179" s="231">
        <v>1.4137</v>
      </c>
      <c r="E179" s="231">
        <v>1.5694900000000001</v>
      </c>
    </row>
    <row r="180" spans="1:6" ht="20.100000000000001" customHeight="1" x14ac:dyDescent="0.2">
      <c r="A180" s="226">
        <v>2</v>
      </c>
      <c r="B180" s="224" t="s">
        <v>420</v>
      </c>
      <c r="C180" s="231">
        <v>1.4706999999999999</v>
      </c>
      <c r="D180" s="231">
        <v>1.4253</v>
      </c>
      <c r="E180" s="231">
        <v>1.5037</v>
      </c>
    </row>
    <row r="181" spans="1:6" ht="20.100000000000001" customHeight="1" x14ac:dyDescent="0.2">
      <c r="A181" s="226">
        <v>3</v>
      </c>
      <c r="B181" s="224" t="s">
        <v>421</v>
      </c>
      <c r="C181" s="231">
        <v>1.10945</v>
      </c>
      <c r="D181" s="231">
        <v>0.99157399999999996</v>
      </c>
      <c r="E181" s="231">
        <v>1.20956</v>
      </c>
    </row>
    <row r="182" spans="1:6" ht="20.100000000000001" customHeight="1" x14ac:dyDescent="0.2">
      <c r="A182" s="226">
        <v>4</v>
      </c>
      <c r="B182" s="224" t="s">
        <v>422</v>
      </c>
      <c r="C182" s="231">
        <v>1.111</v>
      </c>
      <c r="D182" s="231">
        <v>0.99048000000000003</v>
      </c>
      <c r="E182" s="231">
        <v>1.21733</v>
      </c>
    </row>
    <row r="183" spans="1:6" ht="20.100000000000001" customHeight="1" x14ac:dyDescent="0.2">
      <c r="A183" s="226">
        <v>5</v>
      </c>
      <c r="B183" s="224" t="s">
        <v>423</v>
      </c>
      <c r="C183" s="231">
        <v>0.85140000000000005</v>
      </c>
      <c r="D183" s="231">
        <v>1.0623</v>
      </c>
      <c r="E183" s="231">
        <v>0.92652999999999996</v>
      </c>
    </row>
    <row r="184" spans="1:6" ht="20.100000000000001" customHeight="1" x14ac:dyDescent="0.2">
      <c r="A184" s="226">
        <v>6</v>
      </c>
      <c r="B184" s="224" t="s">
        <v>424</v>
      </c>
      <c r="C184" s="231">
        <v>1.6774</v>
      </c>
      <c r="D184" s="231">
        <v>0</v>
      </c>
      <c r="E184" s="231">
        <v>1.6584000000000001</v>
      </c>
    </row>
    <row r="185" spans="1:6" ht="20.100000000000001" customHeight="1" x14ac:dyDescent="0.2">
      <c r="A185" s="226">
        <v>7</v>
      </c>
      <c r="B185" s="224" t="s">
        <v>425</v>
      </c>
      <c r="C185" s="231">
        <v>1.2742</v>
      </c>
      <c r="D185" s="231">
        <v>1.101</v>
      </c>
      <c r="E185" s="231">
        <v>1.018</v>
      </c>
    </row>
    <row r="186" spans="1:6" ht="20.100000000000001" customHeight="1" x14ac:dyDescent="0.2">
      <c r="A186" s="226">
        <v>8</v>
      </c>
      <c r="B186" s="224" t="s">
        <v>429</v>
      </c>
      <c r="C186" s="231">
        <v>1.4104920000000001</v>
      </c>
      <c r="D186" s="231">
        <v>1.3774789999999999</v>
      </c>
      <c r="E186" s="231">
        <v>1.4959089999999999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2897</v>
      </c>
      <c r="D189" s="218">
        <v>3031</v>
      </c>
      <c r="E189" s="218">
        <v>2602</v>
      </c>
    </row>
    <row r="190" spans="1:6" ht="20.100000000000001" customHeight="1" x14ac:dyDescent="0.2">
      <c r="A190" s="226">
        <v>2</v>
      </c>
      <c r="B190" s="224" t="s">
        <v>433</v>
      </c>
      <c r="C190" s="218">
        <v>19735</v>
      </c>
      <c r="D190" s="218">
        <v>18664</v>
      </c>
      <c r="E190" s="218">
        <v>18704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22632</v>
      </c>
      <c r="D191" s="218">
        <f>+D190+D189</f>
        <v>21695</v>
      </c>
      <c r="E191" s="218">
        <f>+E190+E189</f>
        <v>21306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FILING&amp;RMILFORD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312287</v>
      </c>
      <c r="D14" s="258">
        <v>1276266</v>
      </c>
      <c r="E14" s="258">
        <f t="shared" ref="E14:E24" si="0">D14-C14</f>
        <v>963979</v>
      </c>
      <c r="F14" s="259">
        <f t="shared" ref="F14:F24" si="1">IF(C14=0,0,E14/C14)</f>
        <v>3.0868367879546699</v>
      </c>
    </row>
    <row r="15" spans="1:7" ht="20.25" customHeight="1" x14ac:dyDescent="0.3">
      <c r="A15" s="256">
        <v>2</v>
      </c>
      <c r="B15" s="257" t="s">
        <v>442</v>
      </c>
      <c r="C15" s="258">
        <v>94784</v>
      </c>
      <c r="D15" s="258">
        <v>344496</v>
      </c>
      <c r="E15" s="258">
        <f t="shared" si="0"/>
        <v>249712</v>
      </c>
      <c r="F15" s="259">
        <f t="shared" si="1"/>
        <v>2.6345374746792709</v>
      </c>
    </row>
    <row r="16" spans="1:7" ht="20.25" customHeight="1" x14ac:dyDescent="0.3">
      <c r="A16" s="256">
        <v>3</v>
      </c>
      <c r="B16" s="257" t="s">
        <v>443</v>
      </c>
      <c r="C16" s="258">
        <v>319784</v>
      </c>
      <c r="D16" s="258">
        <v>949674</v>
      </c>
      <c r="E16" s="258">
        <f t="shared" si="0"/>
        <v>629890</v>
      </c>
      <c r="F16" s="259">
        <f t="shared" si="1"/>
        <v>1.9697358216796337</v>
      </c>
    </row>
    <row r="17" spans="1:6" ht="20.25" customHeight="1" x14ac:dyDescent="0.3">
      <c r="A17" s="256">
        <v>4</v>
      </c>
      <c r="B17" s="257" t="s">
        <v>444</v>
      </c>
      <c r="C17" s="258">
        <v>71743</v>
      </c>
      <c r="D17" s="258">
        <v>190935</v>
      </c>
      <c r="E17" s="258">
        <f t="shared" si="0"/>
        <v>119192</v>
      </c>
      <c r="F17" s="259">
        <f t="shared" si="1"/>
        <v>1.6613746288836542</v>
      </c>
    </row>
    <row r="18" spans="1:6" ht="20.25" customHeight="1" x14ac:dyDescent="0.3">
      <c r="A18" s="256">
        <v>5</v>
      </c>
      <c r="B18" s="257" t="s">
        <v>381</v>
      </c>
      <c r="C18" s="260">
        <v>8</v>
      </c>
      <c r="D18" s="260">
        <v>35</v>
      </c>
      <c r="E18" s="260">
        <f t="shared" si="0"/>
        <v>27</v>
      </c>
      <c r="F18" s="259">
        <f t="shared" si="1"/>
        <v>3.375</v>
      </c>
    </row>
    <row r="19" spans="1:6" ht="20.25" customHeight="1" x14ac:dyDescent="0.3">
      <c r="A19" s="256">
        <v>6</v>
      </c>
      <c r="B19" s="257" t="s">
        <v>380</v>
      </c>
      <c r="C19" s="260">
        <v>39</v>
      </c>
      <c r="D19" s="260">
        <v>126</v>
      </c>
      <c r="E19" s="260">
        <f t="shared" si="0"/>
        <v>87</v>
      </c>
      <c r="F19" s="259">
        <f t="shared" si="1"/>
        <v>2.2307692307692308</v>
      </c>
    </row>
    <row r="20" spans="1:6" ht="20.25" customHeight="1" x14ac:dyDescent="0.3">
      <c r="A20" s="256">
        <v>7</v>
      </c>
      <c r="B20" s="257" t="s">
        <v>445</v>
      </c>
      <c r="C20" s="260">
        <v>66</v>
      </c>
      <c r="D20" s="260">
        <v>244</v>
      </c>
      <c r="E20" s="260">
        <f t="shared" si="0"/>
        <v>178</v>
      </c>
      <c r="F20" s="259">
        <f t="shared" si="1"/>
        <v>2.6969696969696968</v>
      </c>
    </row>
    <row r="21" spans="1:6" ht="20.25" customHeight="1" x14ac:dyDescent="0.3">
      <c r="A21" s="256">
        <v>8</v>
      </c>
      <c r="B21" s="257" t="s">
        <v>446</v>
      </c>
      <c r="C21" s="260">
        <v>45</v>
      </c>
      <c r="D21" s="260">
        <v>136</v>
      </c>
      <c r="E21" s="260">
        <f t="shared" si="0"/>
        <v>91</v>
      </c>
      <c r="F21" s="259">
        <f t="shared" si="1"/>
        <v>2.0222222222222221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632071</v>
      </c>
      <c r="D23" s="263">
        <f>+D14+D16</f>
        <v>2225940</v>
      </c>
      <c r="E23" s="263">
        <f t="shared" si="0"/>
        <v>1593869</v>
      </c>
      <c r="F23" s="264">
        <f t="shared" si="1"/>
        <v>2.5216613323503214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166527</v>
      </c>
      <c r="D24" s="263">
        <f>+D15+D17</f>
        <v>535431</v>
      </c>
      <c r="E24" s="263">
        <f t="shared" si="0"/>
        <v>368904</v>
      </c>
      <c r="F24" s="264">
        <f t="shared" si="1"/>
        <v>2.2152804049793726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8608774</v>
      </c>
      <c r="D40" s="258">
        <v>8987540</v>
      </c>
      <c r="E40" s="258">
        <f t="shared" ref="E40:E50" si="4">D40-C40</f>
        <v>378766</v>
      </c>
      <c r="F40" s="259">
        <f t="shared" ref="F40:F50" si="5">IF(C40=0,0,E40/C40)</f>
        <v>4.3997670283829032E-2</v>
      </c>
    </row>
    <row r="41" spans="1:6" ht="20.25" customHeight="1" x14ac:dyDescent="0.3">
      <c r="A41" s="256">
        <v>2</v>
      </c>
      <c r="B41" s="257" t="s">
        <v>442</v>
      </c>
      <c r="C41" s="258">
        <v>2387477</v>
      </c>
      <c r="D41" s="258">
        <v>2469579</v>
      </c>
      <c r="E41" s="258">
        <f t="shared" si="4"/>
        <v>82102</v>
      </c>
      <c r="F41" s="259">
        <f t="shared" si="5"/>
        <v>3.4388603534191112E-2</v>
      </c>
    </row>
    <row r="42" spans="1:6" ht="20.25" customHeight="1" x14ac:dyDescent="0.3">
      <c r="A42" s="256">
        <v>3</v>
      </c>
      <c r="B42" s="257" t="s">
        <v>443</v>
      </c>
      <c r="C42" s="258">
        <v>4450046</v>
      </c>
      <c r="D42" s="258">
        <v>4313383</v>
      </c>
      <c r="E42" s="258">
        <f t="shared" si="4"/>
        <v>-136663</v>
      </c>
      <c r="F42" s="259">
        <f t="shared" si="5"/>
        <v>-3.0710469060319826E-2</v>
      </c>
    </row>
    <row r="43" spans="1:6" ht="20.25" customHeight="1" x14ac:dyDescent="0.3">
      <c r="A43" s="256">
        <v>4</v>
      </c>
      <c r="B43" s="257" t="s">
        <v>444</v>
      </c>
      <c r="C43" s="258">
        <v>987088</v>
      </c>
      <c r="D43" s="258">
        <v>830924</v>
      </c>
      <c r="E43" s="258">
        <f t="shared" si="4"/>
        <v>-156164</v>
      </c>
      <c r="F43" s="259">
        <f t="shared" si="5"/>
        <v>-0.1582067657594865</v>
      </c>
    </row>
    <row r="44" spans="1:6" ht="20.25" customHeight="1" x14ac:dyDescent="0.3">
      <c r="A44" s="256">
        <v>5</v>
      </c>
      <c r="B44" s="257" t="s">
        <v>381</v>
      </c>
      <c r="C44" s="260">
        <v>245</v>
      </c>
      <c r="D44" s="260">
        <v>231</v>
      </c>
      <c r="E44" s="260">
        <f t="shared" si="4"/>
        <v>-14</v>
      </c>
      <c r="F44" s="259">
        <f t="shared" si="5"/>
        <v>-5.7142857142857141E-2</v>
      </c>
    </row>
    <row r="45" spans="1:6" ht="20.25" customHeight="1" x14ac:dyDescent="0.3">
      <c r="A45" s="256">
        <v>6</v>
      </c>
      <c r="B45" s="257" t="s">
        <v>380</v>
      </c>
      <c r="C45" s="260">
        <v>1038</v>
      </c>
      <c r="D45" s="260">
        <v>970</v>
      </c>
      <c r="E45" s="260">
        <f t="shared" si="4"/>
        <v>-68</v>
      </c>
      <c r="F45" s="259">
        <f t="shared" si="5"/>
        <v>-6.5510597302504817E-2</v>
      </c>
    </row>
    <row r="46" spans="1:6" ht="20.25" customHeight="1" x14ac:dyDescent="0.3">
      <c r="A46" s="256">
        <v>7</v>
      </c>
      <c r="B46" s="257" t="s">
        <v>445</v>
      </c>
      <c r="C46" s="260">
        <v>1012</v>
      </c>
      <c r="D46" s="260">
        <v>881</v>
      </c>
      <c r="E46" s="260">
        <f t="shared" si="4"/>
        <v>-131</v>
      </c>
      <c r="F46" s="259">
        <f t="shared" si="5"/>
        <v>-0.12944664031620554</v>
      </c>
    </row>
    <row r="47" spans="1:6" ht="20.25" customHeight="1" x14ac:dyDescent="0.3">
      <c r="A47" s="256">
        <v>8</v>
      </c>
      <c r="B47" s="257" t="s">
        <v>446</v>
      </c>
      <c r="C47" s="260">
        <v>462</v>
      </c>
      <c r="D47" s="260">
        <v>479</v>
      </c>
      <c r="E47" s="260">
        <f t="shared" si="4"/>
        <v>17</v>
      </c>
      <c r="F47" s="259">
        <f t="shared" si="5"/>
        <v>3.67965367965368E-2</v>
      </c>
    </row>
    <row r="48" spans="1:6" ht="20.25" customHeight="1" x14ac:dyDescent="0.3">
      <c r="A48" s="256">
        <v>9</v>
      </c>
      <c r="B48" s="257" t="s">
        <v>447</v>
      </c>
      <c r="C48" s="260">
        <v>0</v>
      </c>
      <c r="D48" s="260">
        <v>0</v>
      </c>
      <c r="E48" s="260">
        <f t="shared" si="4"/>
        <v>0</v>
      </c>
      <c r="F48" s="259">
        <f t="shared" si="5"/>
        <v>0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13058820</v>
      </c>
      <c r="D49" s="263">
        <f>+D40+D42</f>
        <v>13300923</v>
      </c>
      <c r="E49" s="263">
        <f t="shared" si="4"/>
        <v>242103</v>
      </c>
      <c r="F49" s="264">
        <f t="shared" si="5"/>
        <v>1.8539423929574035E-2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3374565</v>
      </c>
      <c r="D50" s="263">
        <f>+D41+D43</f>
        <v>3300503</v>
      </c>
      <c r="E50" s="263">
        <f t="shared" si="4"/>
        <v>-74062</v>
      </c>
      <c r="F50" s="264">
        <f t="shared" si="5"/>
        <v>-2.1947125036856602E-2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60358</v>
      </c>
      <c r="D66" s="258">
        <v>35682</v>
      </c>
      <c r="E66" s="258">
        <f t="shared" ref="E66:E76" si="8">D66-C66</f>
        <v>-24676</v>
      </c>
      <c r="F66" s="259">
        <f t="shared" ref="F66:F76" si="9">IF(C66=0,0,E66/C66)</f>
        <v>-0.40882733026276552</v>
      </c>
    </row>
    <row r="67" spans="1:6" ht="20.25" customHeight="1" x14ac:dyDescent="0.3">
      <c r="A67" s="256">
        <v>2</v>
      </c>
      <c r="B67" s="257" t="s">
        <v>442</v>
      </c>
      <c r="C67" s="258">
        <v>22200</v>
      </c>
      <c r="D67" s="258">
        <v>9631</v>
      </c>
      <c r="E67" s="258">
        <f t="shared" si="8"/>
        <v>-12569</v>
      </c>
      <c r="F67" s="259">
        <f t="shared" si="9"/>
        <v>-0.56617117117117122</v>
      </c>
    </row>
    <row r="68" spans="1:6" ht="20.25" customHeight="1" x14ac:dyDescent="0.3">
      <c r="A68" s="256">
        <v>3</v>
      </c>
      <c r="B68" s="257" t="s">
        <v>443</v>
      </c>
      <c r="C68" s="258">
        <v>46218</v>
      </c>
      <c r="D68" s="258">
        <v>44696</v>
      </c>
      <c r="E68" s="258">
        <f t="shared" si="8"/>
        <v>-1522</v>
      </c>
      <c r="F68" s="259">
        <f t="shared" si="9"/>
        <v>-3.2930892725777837E-2</v>
      </c>
    </row>
    <row r="69" spans="1:6" ht="20.25" customHeight="1" x14ac:dyDescent="0.3">
      <c r="A69" s="256">
        <v>4</v>
      </c>
      <c r="B69" s="257" t="s">
        <v>444</v>
      </c>
      <c r="C69" s="258">
        <v>26856</v>
      </c>
      <c r="D69" s="258">
        <v>10663</v>
      </c>
      <c r="E69" s="258">
        <f t="shared" si="8"/>
        <v>-16193</v>
      </c>
      <c r="F69" s="259">
        <f t="shared" si="9"/>
        <v>-0.60295650878760798</v>
      </c>
    </row>
    <row r="70" spans="1:6" ht="20.25" customHeight="1" x14ac:dyDescent="0.3">
      <c r="A70" s="256">
        <v>5</v>
      </c>
      <c r="B70" s="257" t="s">
        <v>381</v>
      </c>
      <c r="C70" s="260">
        <v>2</v>
      </c>
      <c r="D70" s="260">
        <v>1</v>
      </c>
      <c r="E70" s="260">
        <f t="shared" si="8"/>
        <v>-1</v>
      </c>
      <c r="F70" s="259">
        <f t="shared" si="9"/>
        <v>-0.5</v>
      </c>
    </row>
    <row r="71" spans="1:6" ht="20.25" customHeight="1" x14ac:dyDescent="0.3">
      <c r="A71" s="256">
        <v>6</v>
      </c>
      <c r="B71" s="257" t="s">
        <v>380</v>
      </c>
      <c r="C71" s="260">
        <v>6</v>
      </c>
      <c r="D71" s="260">
        <v>9</v>
      </c>
      <c r="E71" s="260">
        <f t="shared" si="8"/>
        <v>3</v>
      </c>
      <c r="F71" s="259">
        <f t="shared" si="9"/>
        <v>0.5</v>
      </c>
    </row>
    <row r="72" spans="1:6" ht="20.25" customHeight="1" x14ac:dyDescent="0.3">
      <c r="A72" s="256">
        <v>7</v>
      </c>
      <c r="B72" s="257" t="s">
        <v>445</v>
      </c>
      <c r="C72" s="260">
        <v>3</v>
      </c>
      <c r="D72" s="260">
        <v>8</v>
      </c>
      <c r="E72" s="260">
        <f t="shared" si="8"/>
        <v>5</v>
      </c>
      <c r="F72" s="259">
        <f t="shared" si="9"/>
        <v>1.6666666666666667</v>
      </c>
    </row>
    <row r="73" spans="1:6" ht="20.25" customHeight="1" x14ac:dyDescent="0.3">
      <c r="A73" s="256">
        <v>8</v>
      </c>
      <c r="B73" s="257" t="s">
        <v>446</v>
      </c>
      <c r="C73" s="260">
        <v>9</v>
      </c>
      <c r="D73" s="260">
        <v>16</v>
      </c>
      <c r="E73" s="260">
        <f t="shared" si="8"/>
        <v>7</v>
      </c>
      <c r="F73" s="259">
        <f t="shared" si="9"/>
        <v>0.77777777777777779</v>
      </c>
    </row>
    <row r="74" spans="1:6" ht="20.25" customHeight="1" x14ac:dyDescent="0.3">
      <c r="A74" s="256">
        <v>9</v>
      </c>
      <c r="B74" s="257" t="s">
        <v>447</v>
      </c>
      <c r="C74" s="260">
        <v>0</v>
      </c>
      <c r="D74" s="260">
        <v>0</v>
      </c>
      <c r="E74" s="260">
        <f t="shared" si="8"/>
        <v>0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106576</v>
      </c>
      <c r="D75" s="263">
        <f>+D66+D68</f>
        <v>80378</v>
      </c>
      <c r="E75" s="263">
        <f t="shared" si="8"/>
        <v>-26198</v>
      </c>
      <c r="F75" s="264">
        <f t="shared" si="9"/>
        <v>-0.24581519291397688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49056</v>
      </c>
      <c r="D76" s="263">
        <f>+D67+D69</f>
        <v>20294</v>
      </c>
      <c r="E76" s="263">
        <f t="shared" si="8"/>
        <v>-28762</v>
      </c>
      <c r="F76" s="264">
        <f t="shared" si="9"/>
        <v>-0.58630952380952384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7957714</v>
      </c>
      <c r="D92" s="258">
        <v>6860015</v>
      </c>
      <c r="E92" s="258">
        <f t="shared" ref="E92:E102" si="12">D92-C92</f>
        <v>-1097699</v>
      </c>
      <c r="F92" s="259">
        <f t="shared" ref="F92:F102" si="13">IF(C92=0,0,E92/C92)</f>
        <v>-0.1379414992798183</v>
      </c>
    </row>
    <row r="93" spans="1:6" ht="20.25" customHeight="1" x14ac:dyDescent="0.3">
      <c r="A93" s="256">
        <v>2</v>
      </c>
      <c r="B93" s="257" t="s">
        <v>442</v>
      </c>
      <c r="C93" s="258">
        <v>2205317</v>
      </c>
      <c r="D93" s="258">
        <v>2000624</v>
      </c>
      <c r="E93" s="258">
        <f t="shared" si="12"/>
        <v>-204693</v>
      </c>
      <c r="F93" s="259">
        <f t="shared" si="13"/>
        <v>-9.2817948621445351E-2</v>
      </c>
    </row>
    <row r="94" spans="1:6" ht="20.25" customHeight="1" x14ac:dyDescent="0.3">
      <c r="A94" s="256">
        <v>3</v>
      </c>
      <c r="B94" s="257" t="s">
        <v>443</v>
      </c>
      <c r="C94" s="258">
        <v>3813177</v>
      </c>
      <c r="D94" s="258">
        <v>3379064</v>
      </c>
      <c r="E94" s="258">
        <f t="shared" si="12"/>
        <v>-434113</v>
      </c>
      <c r="F94" s="259">
        <f t="shared" si="13"/>
        <v>-0.11384548894530729</v>
      </c>
    </row>
    <row r="95" spans="1:6" ht="20.25" customHeight="1" x14ac:dyDescent="0.3">
      <c r="A95" s="256">
        <v>4</v>
      </c>
      <c r="B95" s="257" t="s">
        <v>444</v>
      </c>
      <c r="C95" s="258">
        <v>809993</v>
      </c>
      <c r="D95" s="258">
        <v>705634</v>
      </c>
      <c r="E95" s="258">
        <f t="shared" si="12"/>
        <v>-104359</v>
      </c>
      <c r="F95" s="259">
        <f t="shared" si="13"/>
        <v>-0.12883938503172249</v>
      </c>
    </row>
    <row r="96" spans="1:6" ht="20.25" customHeight="1" x14ac:dyDescent="0.3">
      <c r="A96" s="256">
        <v>5</v>
      </c>
      <c r="B96" s="257" t="s">
        <v>381</v>
      </c>
      <c r="C96" s="260">
        <v>222</v>
      </c>
      <c r="D96" s="260">
        <v>180</v>
      </c>
      <c r="E96" s="260">
        <f t="shared" si="12"/>
        <v>-42</v>
      </c>
      <c r="F96" s="259">
        <f t="shared" si="13"/>
        <v>-0.1891891891891892</v>
      </c>
    </row>
    <row r="97" spans="1:6" ht="20.25" customHeight="1" x14ac:dyDescent="0.3">
      <c r="A97" s="256">
        <v>6</v>
      </c>
      <c r="B97" s="257" t="s">
        <v>380</v>
      </c>
      <c r="C97" s="260">
        <v>965</v>
      </c>
      <c r="D97" s="260">
        <v>800</v>
      </c>
      <c r="E97" s="260">
        <f t="shared" si="12"/>
        <v>-165</v>
      </c>
      <c r="F97" s="259">
        <f t="shared" si="13"/>
        <v>-0.17098445595854922</v>
      </c>
    </row>
    <row r="98" spans="1:6" ht="20.25" customHeight="1" x14ac:dyDescent="0.3">
      <c r="A98" s="256">
        <v>7</v>
      </c>
      <c r="B98" s="257" t="s">
        <v>445</v>
      </c>
      <c r="C98" s="260">
        <v>923</v>
      </c>
      <c r="D98" s="260">
        <v>752</v>
      </c>
      <c r="E98" s="260">
        <f t="shared" si="12"/>
        <v>-171</v>
      </c>
      <c r="F98" s="259">
        <f t="shared" si="13"/>
        <v>-0.18526543878656554</v>
      </c>
    </row>
    <row r="99" spans="1:6" ht="20.25" customHeight="1" x14ac:dyDescent="0.3">
      <c r="A99" s="256">
        <v>8</v>
      </c>
      <c r="B99" s="257" t="s">
        <v>446</v>
      </c>
      <c r="C99" s="260">
        <v>448</v>
      </c>
      <c r="D99" s="260">
        <v>482</v>
      </c>
      <c r="E99" s="260">
        <f t="shared" si="12"/>
        <v>34</v>
      </c>
      <c r="F99" s="259">
        <f t="shared" si="13"/>
        <v>7.5892857142857137E-2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11770891</v>
      </c>
      <c r="D101" s="263">
        <f>+D92+D94</f>
        <v>10239079</v>
      </c>
      <c r="E101" s="263">
        <f t="shared" si="12"/>
        <v>-1531812</v>
      </c>
      <c r="F101" s="264">
        <f t="shared" si="13"/>
        <v>-0.13013560315867337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3015310</v>
      </c>
      <c r="D102" s="263">
        <f>+D93+D95</f>
        <v>2706258</v>
      </c>
      <c r="E102" s="263">
        <f t="shared" si="12"/>
        <v>-309052</v>
      </c>
      <c r="F102" s="264">
        <f t="shared" si="13"/>
        <v>-0.10249427090415247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873306</v>
      </c>
      <c r="D105" s="258">
        <v>953203</v>
      </c>
      <c r="E105" s="258">
        <f t="shared" ref="E105:E115" si="14">D105-C105</f>
        <v>79897</v>
      </c>
      <c r="F105" s="259">
        <f t="shared" ref="F105:F115" si="15">IF(C105=0,0,E105/C105)</f>
        <v>9.1487977868009607E-2</v>
      </c>
    </row>
    <row r="106" spans="1:6" ht="20.25" customHeight="1" x14ac:dyDescent="0.3">
      <c r="A106" s="256">
        <v>2</v>
      </c>
      <c r="B106" s="257" t="s">
        <v>442</v>
      </c>
      <c r="C106" s="258">
        <v>229632</v>
      </c>
      <c r="D106" s="258">
        <v>274492</v>
      </c>
      <c r="E106" s="258">
        <f t="shared" si="14"/>
        <v>44860</v>
      </c>
      <c r="F106" s="259">
        <f t="shared" si="15"/>
        <v>0.19535604793756967</v>
      </c>
    </row>
    <row r="107" spans="1:6" ht="20.25" customHeight="1" x14ac:dyDescent="0.3">
      <c r="A107" s="256">
        <v>3</v>
      </c>
      <c r="B107" s="257" t="s">
        <v>443</v>
      </c>
      <c r="C107" s="258">
        <v>629798</v>
      </c>
      <c r="D107" s="258">
        <v>387895</v>
      </c>
      <c r="E107" s="258">
        <f t="shared" si="14"/>
        <v>-241903</v>
      </c>
      <c r="F107" s="259">
        <f t="shared" si="15"/>
        <v>-0.38409617051816614</v>
      </c>
    </row>
    <row r="108" spans="1:6" ht="20.25" customHeight="1" x14ac:dyDescent="0.3">
      <c r="A108" s="256">
        <v>4</v>
      </c>
      <c r="B108" s="257" t="s">
        <v>444</v>
      </c>
      <c r="C108" s="258">
        <v>127541</v>
      </c>
      <c r="D108" s="258">
        <v>78579</v>
      </c>
      <c r="E108" s="258">
        <f t="shared" si="14"/>
        <v>-48962</v>
      </c>
      <c r="F108" s="259">
        <f t="shared" si="15"/>
        <v>-0.38389223857426241</v>
      </c>
    </row>
    <row r="109" spans="1:6" ht="20.25" customHeight="1" x14ac:dyDescent="0.3">
      <c r="A109" s="256">
        <v>5</v>
      </c>
      <c r="B109" s="257" t="s">
        <v>381</v>
      </c>
      <c r="C109" s="260">
        <v>28</v>
      </c>
      <c r="D109" s="260">
        <v>22</v>
      </c>
      <c r="E109" s="260">
        <f t="shared" si="14"/>
        <v>-6</v>
      </c>
      <c r="F109" s="259">
        <f t="shared" si="15"/>
        <v>-0.21428571428571427</v>
      </c>
    </row>
    <row r="110" spans="1:6" ht="20.25" customHeight="1" x14ac:dyDescent="0.3">
      <c r="A110" s="256">
        <v>6</v>
      </c>
      <c r="B110" s="257" t="s">
        <v>380</v>
      </c>
      <c r="C110" s="260">
        <v>111</v>
      </c>
      <c r="D110" s="260">
        <v>92</v>
      </c>
      <c r="E110" s="260">
        <f t="shared" si="14"/>
        <v>-19</v>
      </c>
      <c r="F110" s="259">
        <f t="shared" si="15"/>
        <v>-0.17117117117117117</v>
      </c>
    </row>
    <row r="111" spans="1:6" ht="20.25" customHeight="1" x14ac:dyDescent="0.3">
      <c r="A111" s="256">
        <v>7</v>
      </c>
      <c r="B111" s="257" t="s">
        <v>445</v>
      </c>
      <c r="C111" s="260">
        <v>353</v>
      </c>
      <c r="D111" s="260">
        <v>210</v>
      </c>
      <c r="E111" s="260">
        <f t="shared" si="14"/>
        <v>-143</v>
      </c>
      <c r="F111" s="259">
        <f t="shared" si="15"/>
        <v>-0.40509915014164305</v>
      </c>
    </row>
    <row r="112" spans="1:6" ht="20.25" customHeight="1" x14ac:dyDescent="0.3">
      <c r="A112" s="256">
        <v>8</v>
      </c>
      <c r="B112" s="257" t="s">
        <v>446</v>
      </c>
      <c r="C112" s="260">
        <v>83</v>
      </c>
      <c r="D112" s="260">
        <v>56</v>
      </c>
      <c r="E112" s="260">
        <f t="shared" si="14"/>
        <v>-27</v>
      </c>
      <c r="F112" s="259">
        <f t="shared" si="15"/>
        <v>-0.3253012048192771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1503104</v>
      </c>
      <c r="D114" s="263">
        <f>+D105+D107</f>
        <v>1341098</v>
      </c>
      <c r="E114" s="263">
        <f t="shared" si="14"/>
        <v>-162006</v>
      </c>
      <c r="F114" s="264">
        <f t="shared" si="15"/>
        <v>-0.10778096525589713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357173</v>
      </c>
      <c r="D115" s="263">
        <f>+D106+D108</f>
        <v>353071</v>
      </c>
      <c r="E115" s="263">
        <f t="shared" si="14"/>
        <v>-4102</v>
      </c>
      <c r="F115" s="264">
        <f t="shared" si="15"/>
        <v>-1.1484630697169158E-2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3501685</v>
      </c>
      <c r="D118" s="258">
        <v>3463606</v>
      </c>
      <c r="E118" s="258">
        <f t="shared" ref="E118:E128" si="16">D118-C118</f>
        <v>-38079</v>
      </c>
      <c r="F118" s="259">
        <f t="shared" ref="F118:F128" si="17">IF(C118=0,0,E118/C118)</f>
        <v>-1.0874479000823889E-2</v>
      </c>
    </row>
    <row r="119" spans="1:6" ht="20.25" customHeight="1" x14ac:dyDescent="0.3">
      <c r="A119" s="256">
        <v>2</v>
      </c>
      <c r="B119" s="257" t="s">
        <v>442</v>
      </c>
      <c r="C119" s="258">
        <v>997523</v>
      </c>
      <c r="D119" s="258">
        <v>982716</v>
      </c>
      <c r="E119" s="258">
        <f t="shared" si="16"/>
        <v>-14807</v>
      </c>
      <c r="F119" s="259">
        <f t="shared" si="17"/>
        <v>-1.4843768013369115E-2</v>
      </c>
    </row>
    <row r="120" spans="1:6" ht="20.25" customHeight="1" x14ac:dyDescent="0.3">
      <c r="A120" s="256">
        <v>3</v>
      </c>
      <c r="B120" s="257" t="s">
        <v>443</v>
      </c>
      <c r="C120" s="258">
        <v>2028927</v>
      </c>
      <c r="D120" s="258">
        <v>2472646</v>
      </c>
      <c r="E120" s="258">
        <f t="shared" si="16"/>
        <v>443719</v>
      </c>
      <c r="F120" s="259">
        <f t="shared" si="17"/>
        <v>0.21869638483789708</v>
      </c>
    </row>
    <row r="121" spans="1:6" ht="20.25" customHeight="1" x14ac:dyDescent="0.3">
      <c r="A121" s="256">
        <v>4</v>
      </c>
      <c r="B121" s="257" t="s">
        <v>444</v>
      </c>
      <c r="C121" s="258">
        <v>418690</v>
      </c>
      <c r="D121" s="258">
        <v>499499</v>
      </c>
      <c r="E121" s="258">
        <f t="shared" si="16"/>
        <v>80809</v>
      </c>
      <c r="F121" s="259">
        <f t="shared" si="17"/>
        <v>0.19300437077551411</v>
      </c>
    </row>
    <row r="122" spans="1:6" ht="20.25" customHeight="1" x14ac:dyDescent="0.3">
      <c r="A122" s="256">
        <v>5</v>
      </c>
      <c r="B122" s="257" t="s">
        <v>381</v>
      </c>
      <c r="C122" s="260">
        <v>105</v>
      </c>
      <c r="D122" s="260">
        <v>90</v>
      </c>
      <c r="E122" s="260">
        <f t="shared" si="16"/>
        <v>-15</v>
      </c>
      <c r="F122" s="259">
        <f t="shared" si="17"/>
        <v>-0.14285714285714285</v>
      </c>
    </row>
    <row r="123" spans="1:6" ht="20.25" customHeight="1" x14ac:dyDescent="0.3">
      <c r="A123" s="256">
        <v>6</v>
      </c>
      <c r="B123" s="257" t="s">
        <v>380</v>
      </c>
      <c r="C123" s="260">
        <v>414</v>
      </c>
      <c r="D123" s="260">
        <v>355</v>
      </c>
      <c r="E123" s="260">
        <f t="shared" si="16"/>
        <v>-59</v>
      </c>
      <c r="F123" s="259">
        <f t="shared" si="17"/>
        <v>-0.14251207729468598</v>
      </c>
    </row>
    <row r="124" spans="1:6" ht="20.25" customHeight="1" x14ac:dyDescent="0.3">
      <c r="A124" s="256">
        <v>7</v>
      </c>
      <c r="B124" s="257" t="s">
        <v>445</v>
      </c>
      <c r="C124" s="260">
        <v>1031</v>
      </c>
      <c r="D124" s="260">
        <v>1044</v>
      </c>
      <c r="E124" s="260">
        <f t="shared" si="16"/>
        <v>13</v>
      </c>
      <c r="F124" s="259">
        <f t="shared" si="17"/>
        <v>1.2609117361784675E-2</v>
      </c>
    </row>
    <row r="125" spans="1:6" ht="20.25" customHeight="1" x14ac:dyDescent="0.3">
      <c r="A125" s="256">
        <v>8</v>
      </c>
      <c r="B125" s="257" t="s">
        <v>446</v>
      </c>
      <c r="C125" s="260">
        <v>211</v>
      </c>
      <c r="D125" s="260">
        <v>255</v>
      </c>
      <c r="E125" s="260">
        <f t="shared" si="16"/>
        <v>44</v>
      </c>
      <c r="F125" s="259">
        <f t="shared" si="17"/>
        <v>0.20853080568720378</v>
      </c>
    </row>
    <row r="126" spans="1:6" ht="20.25" customHeight="1" x14ac:dyDescent="0.3">
      <c r="A126" s="256">
        <v>9</v>
      </c>
      <c r="B126" s="257" t="s">
        <v>447</v>
      </c>
      <c r="C126" s="260">
        <v>0</v>
      </c>
      <c r="D126" s="260">
        <v>0</v>
      </c>
      <c r="E126" s="260">
        <f t="shared" si="16"/>
        <v>0</v>
      </c>
      <c r="F126" s="259">
        <f t="shared" si="17"/>
        <v>0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5530612</v>
      </c>
      <c r="D127" s="263">
        <f>+D118+D120</f>
        <v>5936252</v>
      </c>
      <c r="E127" s="263">
        <f t="shared" si="16"/>
        <v>405640</v>
      </c>
      <c r="F127" s="264">
        <f t="shared" si="17"/>
        <v>7.3344505092745607E-2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1416213</v>
      </c>
      <c r="D128" s="263">
        <f>+D119+D121</f>
        <v>1482215</v>
      </c>
      <c r="E128" s="263">
        <f t="shared" si="16"/>
        <v>66002</v>
      </c>
      <c r="F128" s="264">
        <f t="shared" si="17"/>
        <v>4.6604571487481053E-2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76037</v>
      </c>
      <c r="D131" s="258">
        <v>124867</v>
      </c>
      <c r="E131" s="258">
        <f t="shared" ref="E131:E141" si="18">D131-C131</f>
        <v>48830</v>
      </c>
      <c r="F131" s="259">
        <f t="shared" ref="F131:F141" si="19">IF(C131=0,0,E131/C131)</f>
        <v>0.64218735615555589</v>
      </c>
    </row>
    <row r="132" spans="1:6" ht="20.25" customHeight="1" x14ac:dyDescent="0.3">
      <c r="A132" s="256">
        <v>2</v>
      </c>
      <c r="B132" s="257" t="s">
        <v>442</v>
      </c>
      <c r="C132" s="258">
        <v>21859</v>
      </c>
      <c r="D132" s="258">
        <v>42256</v>
      </c>
      <c r="E132" s="258">
        <f t="shared" si="18"/>
        <v>20397</v>
      </c>
      <c r="F132" s="259">
        <f t="shared" si="19"/>
        <v>0.9331167939978956</v>
      </c>
    </row>
    <row r="133" spans="1:6" ht="20.25" customHeight="1" x14ac:dyDescent="0.3">
      <c r="A133" s="256">
        <v>3</v>
      </c>
      <c r="B133" s="257" t="s">
        <v>443</v>
      </c>
      <c r="C133" s="258">
        <v>116855</v>
      </c>
      <c r="D133" s="258">
        <v>107278</v>
      </c>
      <c r="E133" s="258">
        <f t="shared" si="18"/>
        <v>-9577</v>
      </c>
      <c r="F133" s="259">
        <f t="shared" si="19"/>
        <v>-8.1956270591759015E-2</v>
      </c>
    </row>
    <row r="134" spans="1:6" ht="20.25" customHeight="1" x14ac:dyDescent="0.3">
      <c r="A134" s="256">
        <v>4</v>
      </c>
      <c r="B134" s="257" t="s">
        <v>444</v>
      </c>
      <c r="C134" s="258">
        <v>17365</v>
      </c>
      <c r="D134" s="258">
        <v>21478</v>
      </c>
      <c r="E134" s="258">
        <f t="shared" si="18"/>
        <v>4113</v>
      </c>
      <c r="F134" s="259">
        <f t="shared" si="19"/>
        <v>0.23685574431327383</v>
      </c>
    </row>
    <row r="135" spans="1:6" ht="20.25" customHeight="1" x14ac:dyDescent="0.3">
      <c r="A135" s="256">
        <v>5</v>
      </c>
      <c r="B135" s="257" t="s">
        <v>381</v>
      </c>
      <c r="C135" s="260">
        <v>3</v>
      </c>
      <c r="D135" s="260">
        <v>3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7</v>
      </c>
      <c r="D136" s="260">
        <v>20</v>
      </c>
      <c r="E136" s="260">
        <f t="shared" si="18"/>
        <v>13</v>
      </c>
      <c r="F136" s="259">
        <f t="shared" si="19"/>
        <v>1.8571428571428572</v>
      </c>
    </row>
    <row r="137" spans="1:6" ht="20.25" customHeight="1" x14ac:dyDescent="0.3">
      <c r="A137" s="256">
        <v>7</v>
      </c>
      <c r="B137" s="257" t="s">
        <v>445</v>
      </c>
      <c r="C137" s="260">
        <v>18</v>
      </c>
      <c r="D137" s="260">
        <v>15</v>
      </c>
      <c r="E137" s="260">
        <f t="shared" si="18"/>
        <v>-3</v>
      </c>
      <c r="F137" s="259">
        <f t="shared" si="19"/>
        <v>-0.16666666666666666</v>
      </c>
    </row>
    <row r="138" spans="1:6" ht="20.25" customHeight="1" x14ac:dyDescent="0.3">
      <c r="A138" s="256">
        <v>8</v>
      </c>
      <c r="B138" s="257" t="s">
        <v>446</v>
      </c>
      <c r="C138" s="260">
        <v>16</v>
      </c>
      <c r="D138" s="260">
        <v>14</v>
      </c>
      <c r="E138" s="260">
        <f t="shared" si="18"/>
        <v>-2</v>
      </c>
      <c r="F138" s="259">
        <f t="shared" si="19"/>
        <v>-0.125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192892</v>
      </c>
      <c r="D140" s="263">
        <f>+D131+D133</f>
        <v>232145</v>
      </c>
      <c r="E140" s="263">
        <f t="shared" si="18"/>
        <v>39253</v>
      </c>
      <c r="F140" s="264">
        <f t="shared" si="19"/>
        <v>0.20349729382244988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39224</v>
      </c>
      <c r="D141" s="263">
        <f>+D132+D134</f>
        <v>63734</v>
      </c>
      <c r="E141" s="263">
        <f t="shared" si="18"/>
        <v>24510</v>
      </c>
      <c r="F141" s="264">
        <f t="shared" si="19"/>
        <v>0.62487252702427087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21390161</v>
      </c>
      <c r="D198" s="263">
        <f t="shared" si="28"/>
        <v>21701179</v>
      </c>
      <c r="E198" s="263">
        <f t="shared" ref="E198:E208" si="29">D198-C198</f>
        <v>311018</v>
      </c>
      <c r="F198" s="273">
        <f t="shared" ref="F198:F208" si="30">IF(C198=0,0,E198/C198)</f>
        <v>1.4540236513413808E-2</v>
      </c>
    </row>
    <row r="199" spans="1:9" ht="20.25" customHeight="1" x14ac:dyDescent="0.3">
      <c r="A199" s="271"/>
      <c r="B199" s="272" t="s">
        <v>466</v>
      </c>
      <c r="C199" s="263">
        <f t="shared" si="28"/>
        <v>5958792</v>
      </c>
      <c r="D199" s="263">
        <f t="shared" si="28"/>
        <v>6123794</v>
      </c>
      <c r="E199" s="263">
        <f t="shared" si="29"/>
        <v>165002</v>
      </c>
      <c r="F199" s="273">
        <f t="shared" si="30"/>
        <v>2.7690511768157035E-2</v>
      </c>
    </row>
    <row r="200" spans="1:9" ht="20.25" customHeight="1" x14ac:dyDescent="0.3">
      <c r="A200" s="271"/>
      <c r="B200" s="272" t="s">
        <v>467</v>
      </c>
      <c r="C200" s="263">
        <f t="shared" si="28"/>
        <v>11404805</v>
      </c>
      <c r="D200" s="263">
        <f t="shared" si="28"/>
        <v>11654636</v>
      </c>
      <c r="E200" s="263">
        <f t="shared" si="29"/>
        <v>249831</v>
      </c>
      <c r="F200" s="273">
        <f t="shared" si="30"/>
        <v>2.1905766911402693E-2</v>
      </c>
    </row>
    <row r="201" spans="1:9" ht="20.25" customHeight="1" x14ac:dyDescent="0.3">
      <c r="A201" s="271"/>
      <c r="B201" s="272" t="s">
        <v>468</v>
      </c>
      <c r="C201" s="263">
        <f t="shared" si="28"/>
        <v>2459276</v>
      </c>
      <c r="D201" s="263">
        <f t="shared" si="28"/>
        <v>2337712</v>
      </c>
      <c r="E201" s="263">
        <f t="shared" si="29"/>
        <v>-121564</v>
      </c>
      <c r="F201" s="273">
        <f t="shared" si="30"/>
        <v>-4.9430808091487088E-2</v>
      </c>
    </row>
    <row r="202" spans="1:9" ht="20.25" customHeight="1" x14ac:dyDescent="0.3">
      <c r="A202" s="271"/>
      <c r="B202" s="272" t="s">
        <v>138</v>
      </c>
      <c r="C202" s="274">
        <f t="shared" si="28"/>
        <v>613</v>
      </c>
      <c r="D202" s="274">
        <f t="shared" si="28"/>
        <v>562</v>
      </c>
      <c r="E202" s="274">
        <f t="shared" si="29"/>
        <v>-51</v>
      </c>
      <c r="F202" s="273">
        <f t="shared" si="30"/>
        <v>-8.3197389885807507E-2</v>
      </c>
    </row>
    <row r="203" spans="1:9" ht="20.25" customHeight="1" x14ac:dyDescent="0.3">
      <c r="A203" s="271"/>
      <c r="B203" s="272" t="s">
        <v>140</v>
      </c>
      <c r="C203" s="274">
        <f t="shared" si="28"/>
        <v>2580</v>
      </c>
      <c r="D203" s="274">
        <f t="shared" si="28"/>
        <v>2372</v>
      </c>
      <c r="E203" s="274">
        <f t="shared" si="29"/>
        <v>-208</v>
      </c>
      <c r="F203" s="273">
        <f t="shared" si="30"/>
        <v>-8.0620155038759689E-2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3406</v>
      </c>
      <c r="D204" s="274">
        <f t="shared" si="28"/>
        <v>3154</v>
      </c>
      <c r="E204" s="274">
        <f t="shared" si="29"/>
        <v>-252</v>
      </c>
      <c r="F204" s="273">
        <f t="shared" si="30"/>
        <v>-7.3987081620669401E-2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1274</v>
      </c>
      <c r="D205" s="274">
        <f t="shared" si="28"/>
        <v>1438</v>
      </c>
      <c r="E205" s="274">
        <f t="shared" si="29"/>
        <v>164</v>
      </c>
      <c r="F205" s="273">
        <f t="shared" si="30"/>
        <v>0.12872841444270017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0</v>
      </c>
      <c r="D206" s="274">
        <f t="shared" si="28"/>
        <v>0</v>
      </c>
      <c r="E206" s="274">
        <f t="shared" si="29"/>
        <v>0</v>
      </c>
      <c r="F206" s="273">
        <f t="shared" si="30"/>
        <v>0</v>
      </c>
    </row>
    <row r="207" spans="1:9" ht="20.25" customHeight="1" x14ac:dyDescent="0.3">
      <c r="A207" s="271"/>
      <c r="B207" s="262" t="s">
        <v>471</v>
      </c>
      <c r="C207" s="263">
        <f>+C198+C200</f>
        <v>32794966</v>
      </c>
      <c r="D207" s="263">
        <f>+D198+D200</f>
        <v>33355815</v>
      </c>
      <c r="E207" s="263">
        <f t="shared" si="29"/>
        <v>560849</v>
      </c>
      <c r="F207" s="273">
        <f t="shared" si="30"/>
        <v>1.7101679568748449E-2</v>
      </c>
    </row>
    <row r="208" spans="1:9" ht="20.25" customHeight="1" x14ac:dyDescent="0.3">
      <c r="A208" s="271"/>
      <c r="B208" s="262" t="s">
        <v>472</v>
      </c>
      <c r="C208" s="263">
        <f>+C199+C201</f>
        <v>8418068</v>
      </c>
      <c r="D208" s="263">
        <f>+D199+D201</f>
        <v>8461506</v>
      </c>
      <c r="E208" s="263">
        <f t="shared" si="29"/>
        <v>43438</v>
      </c>
      <c r="F208" s="273">
        <f t="shared" si="30"/>
        <v>5.1600913653821754E-3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6" fitToHeight="0" orientation="portrait" horizontalDpi="1200" verticalDpi="1200" r:id="rId1"/>
  <headerFooter>
    <oddHeader>&amp;LOFFICE OF HEALTH CARE ACCESS&amp;CTWELVE MONTHS ACTUAL FILING&amp;RMILFORD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6" fitToHeight="0" orientation="portrait" horizontalDpi="1200" verticalDpi="1200" r:id="rId1"/>
  <headerFooter>
    <oddHeader>&amp;LOFFICE OF HEALTH CARE ACCESS&amp;CTWELVE MONTHS ACTUAL FILING&amp;RMILFORD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1974260</v>
      </c>
      <c r="D13" s="22">
        <v>3160226</v>
      </c>
      <c r="E13" s="22">
        <f t="shared" ref="E13:E22" si="0">D13-C13</f>
        <v>1185966</v>
      </c>
      <c r="F13" s="306">
        <f t="shared" ref="F13:F22" si="1">IF(C13=0,0,E13/C13)</f>
        <v>0.60071419164649031</v>
      </c>
    </row>
    <row r="14" spans="1:8" ht="24" customHeight="1" x14ac:dyDescent="0.2">
      <c r="A14" s="304">
        <v>2</v>
      </c>
      <c r="B14" s="305" t="s">
        <v>17</v>
      </c>
      <c r="C14" s="22">
        <v>3538211</v>
      </c>
      <c r="D14" s="22">
        <v>1320027</v>
      </c>
      <c r="E14" s="22">
        <f t="shared" si="0"/>
        <v>-2218184</v>
      </c>
      <c r="F14" s="306">
        <f t="shared" si="1"/>
        <v>-0.62692247579355787</v>
      </c>
    </row>
    <row r="15" spans="1:8" ht="35.1" customHeight="1" x14ac:dyDescent="0.2">
      <c r="A15" s="304">
        <v>3</v>
      </c>
      <c r="B15" s="305" t="s">
        <v>18</v>
      </c>
      <c r="C15" s="22">
        <v>9571176</v>
      </c>
      <c r="D15" s="22">
        <v>7709070</v>
      </c>
      <c r="E15" s="22">
        <f t="shared" si="0"/>
        <v>-1862106</v>
      </c>
      <c r="F15" s="306">
        <f t="shared" si="1"/>
        <v>-0.19455352194965383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775631</v>
      </c>
      <c r="D19" s="22">
        <v>1100067</v>
      </c>
      <c r="E19" s="22">
        <f t="shared" si="0"/>
        <v>324436</v>
      </c>
      <c r="F19" s="306">
        <f t="shared" si="1"/>
        <v>0.4182865305796184</v>
      </c>
    </row>
    <row r="20" spans="1:11" ht="24" customHeight="1" x14ac:dyDescent="0.2">
      <c r="A20" s="304">
        <v>8</v>
      </c>
      <c r="B20" s="305" t="s">
        <v>23</v>
      </c>
      <c r="C20" s="22">
        <v>442279</v>
      </c>
      <c r="D20" s="22">
        <v>513244</v>
      </c>
      <c r="E20" s="22">
        <f t="shared" si="0"/>
        <v>70965</v>
      </c>
      <c r="F20" s="306">
        <f t="shared" si="1"/>
        <v>0.16045301721311661</v>
      </c>
    </row>
    <row r="21" spans="1:11" ht="24" customHeight="1" x14ac:dyDescent="0.2">
      <c r="A21" s="304">
        <v>9</v>
      </c>
      <c r="B21" s="305" t="s">
        <v>24</v>
      </c>
      <c r="C21" s="22">
        <v>635284</v>
      </c>
      <c r="D21" s="22">
        <v>717206</v>
      </c>
      <c r="E21" s="22">
        <f t="shared" si="0"/>
        <v>81922</v>
      </c>
      <c r="F21" s="306">
        <f t="shared" si="1"/>
        <v>0.12895334999779626</v>
      </c>
    </row>
    <row r="22" spans="1:11" ht="24" customHeight="1" x14ac:dyDescent="0.25">
      <c r="A22" s="307"/>
      <c r="B22" s="308" t="s">
        <v>25</v>
      </c>
      <c r="C22" s="309">
        <f>SUM(C13:C21)</f>
        <v>16936841</v>
      </c>
      <c r="D22" s="309">
        <f>SUM(D13:D21)</f>
        <v>14519840</v>
      </c>
      <c r="E22" s="309">
        <f t="shared" si="0"/>
        <v>-2417001</v>
      </c>
      <c r="F22" s="310">
        <f t="shared" si="1"/>
        <v>-0.1427067184488536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0</v>
      </c>
      <c r="D25" s="22">
        <v>0</v>
      </c>
      <c r="E25" s="22">
        <f>D25-C25</f>
        <v>0</v>
      </c>
      <c r="F25" s="306">
        <f>IF(C25=0,0,E25/C25)</f>
        <v>0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6090992</v>
      </c>
      <c r="D28" s="22">
        <v>4229489</v>
      </c>
      <c r="E28" s="22">
        <f>D28-C28</f>
        <v>-1861503</v>
      </c>
      <c r="F28" s="306">
        <f>IF(C28=0,0,E28/C28)</f>
        <v>-0.30561573549924215</v>
      </c>
    </row>
    <row r="29" spans="1:11" ht="35.1" customHeight="1" x14ac:dyDescent="0.25">
      <c r="A29" s="307"/>
      <c r="B29" s="308" t="s">
        <v>32</v>
      </c>
      <c r="C29" s="309">
        <f>SUM(C25:C28)</f>
        <v>6090992</v>
      </c>
      <c r="D29" s="309">
        <f>SUM(D25:D28)</f>
        <v>4229489</v>
      </c>
      <c r="E29" s="309">
        <f>D29-C29</f>
        <v>-1861503</v>
      </c>
      <c r="F29" s="310">
        <f>IF(C29=0,0,E29/C29)</f>
        <v>-0.30561573549924215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3092074</v>
      </c>
      <c r="D32" s="22">
        <v>4129071</v>
      </c>
      <c r="E32" s="22">
        <f>D32-C32</f>
        <v>1036997</v>
      </c>
      <c r="F32" s="306">
        <f>IF(C32=0,0,E32/C32)</f>
        <v>0.33537263338458262</v>
      </c>
    </row>
    <row r="33" spans="1:8" ht="24" customHeight="1" x14ac:dyDescent="0.2">
      <c r="A33" s="304">
        <v>7</v>
      </c>
      <c r="B33" s="305" t="s">
        <v>35</v>
      </c>
      <c r="C33" s="22">
        <v>2599964</v>
      </c>
      <c r="D33" s="22">
        <v>1859204</v>
      </c>
      <c r="E33" s="22">
        <f>D33-C33</f>
        <v>-740760</v>
      </c>
      <c r="F33" s="306">
        <f>IF(C33=0,0,E33/C33)</f>
        <v>-0.28491163723805407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66992427</v>
      </c>
      <c r="D36" s="22">
        <v>66532027</v>
      </c>
      <c r="E36" s="22">
        <f>D36-C36</f>
        <v>-460400</v>
      </c>
      <c r="F36" s="306">
        <f>IF(C36=0,0,E36/C36)</f>
        <v>-6.8724185794910818E-3</v>
      </c>
    </row>
    <row r="37" spans="1:8" ht="24" customHeight="1" x14ac:dyDescent="0.2">
      <c r="A37" s="304">
        <v>2</v>
      </c>
      <c r="B37" s="305" t="s">
        <v>39</v>
      </c>
      <c r="C37" s="22">
        <v>34212577</v>
      </c>
      <c r="D37" s="22">
        <v>35957638</v>
      </c>
      <c r="E37" s="22">
        <f>D37-C37</f>
        <v>1745061</v>
      </c>
      <c r="F37" s="22">
        <f>IF(C37=0,0,E37/C37)</f>
        <v>5.1006417902983457E-2</v>
      </c>
    </row>
    <row r="38" spans="1:8" ht="24" customHeight="1" x14ac:dyDescent="0.25">
      <c r="A38" s="307"/>
      <c r="B38" s="308" t="s">
        <v>40</v>
      </c>
      <c r="C38" s="309">
        <f>C36-C37</f>
        <v>32779850</v>
      </c>
      <c r="D38" s="309">
        <f>D36-D37</f>
        <v>30574389</v>
      </c>
      <c r="E38" s="309">
        <f>D38-C38</f>
        <v>-2205461</v>
      </c>
      <c r="F38" s="310">
        <f>IF(C38=0,0,E38/C38)</f>
        <v>-6.7280997319999938E-2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183601</v>
      </c>
      <c r="D40" s="22">
        <v>183601</v>
      </c>
      <c r="E40" s="22">
        <f>D40-C40</f>
        <v>0</v>
      </c>
      <c r="F40" s="306">
        <f>IF(C40=0,0,E40/C40)</f>
        <v>0</v>
      </c>
    </row>
    <row r="41" spans="1:8" ht="24" customHeight="1" x14ac:dyDescent="0.25">
      <c r="A41" s="307"/>
      <c r="B41" s="308" t="s">
        <v>42</v>
      </c>
      <c r="C41" s="309">
        <f>+C38+C40</f>
        <v>32963451</v>
      </c>
      <c r="D41" s="309">
        <f>+D38+D40</f>
        <v>30757990</v>
      </c>
      <c r="E41" s="309">
        <f>D41-C41</f>
        <v>-2205461</v>
      </c>
      <c r="F41" s="310">
        <f>IF(C41=0,0,E41/C41)</f>
        <v>-6.6906253231799065E-2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61683322</v>
      </c>
      <c r="D43" s="309">
        <f>D22+D29+D31+D32+D33+D41</f>
        <v>55495594</v>
      </c>
      <c r="E43" s="309">
        <f>D43-C43</f>
        <v>-6187728</v>
      </c>
      <c r="F43" s="310">
        <f>IF(C43=0,0,E43/C43)</f>
        <v>-0.10031444156007033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6840233</v>
      </c>
      <c r="D49" s="22">
        <v>4520347</v>
      </c>
      <c r="E49" s="22">
        <f t="shared" ref="E49:E56" si="2">D49-C49</f>
        <v>-2319886</v>
      </c>
      <c r="F49" s="306">
        <f t="shared" ref="F49:F56" si="3">IF(C49=0,0,E49/C49)</f>
        <v>-0.33915306686190366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5996188</v>
      </c>
      <c r="D50" s="22">
        <v>5340934</v>
      </c>
      <c r="E50" s="22">
        <f t="shared" si="2"/>
        <v>-655254</v>
      </c>
      <c r="F50" s="306">
        <f t="shared" si="3"/>
        <v>-0.10927842822806756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1101627</v>
      </c>
      <c r="D51" s="22">
        <v>803513</v>
      </c>
      <c r="E51" s="22">
        <f t="shared" si="2"/>
        <v>-298114</v>
      </c>
      <c r="F51" s="306">
        <f t="shared" si="3"/>
        <v>-0.27061246683314771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0</v>
      </c>
      <c r="D53" s="22">
        <v>0</v>
      </c>
      <c r="E53" s="22">
        <f t="shared" si="2"/>
        <v>0</v>
      </c>
      <c r="F53" s="306">
        <f t="shared" si="3"/>
        <v>0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150501</v>
      </c>
      <c r="D54" s="22">
        <v>161473</v>
      </c>
      <c r="E54" s="22">
        <f t="shared" si="2"/>
        <v>10972</v>
      </c>
      <c r="F54" s="306">
        <f t="shared" si="3"/>
        <v>7.2903170078604126E-2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2029560</v>
      </c>
      <c r="D55" s="22">
        <v>2209855</v>
      </c>
      <c r="E55" s="22">
        <f t="shared" si="2"/>
        <v>180295</v>
      </c>
      <c r="F55" s="306">
        <f t="shared" si="3"/>
        <v>8.8834525710006107E-2</v>
      </c>
    </row>
    <row r="56" spans="1:6" ht="24" customHeight="1" x14ac:dyDescent="0.25">
      <c r="A56" s="307"/>
      <c r="B56" s="308" t="s">
        <v>54</v>
      </c>
      <c r="C56" s="309">
        <f>SUM(C49:C55)</f>
        <v>16118109</v>
      </c>
      <c r="D56" s="309">
        <f>SUM(D49:D55)</f>
        <v>13036122</v>
      </c>
      <c r="E56" s="309">
        <f t="shared" si="2"/>
        <v>-3081987</v>
      </c>
      <c r="F56" s="310">
        <f t="shared" si="3"/>
        <v>-0.19121269126545801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0</v>
      </c>
      <c r="D59" s="22">
        <v>0</v>
      </c>
      <c r="E59" s="22">
        <f>D59-C59</f>
        <v>0</v>
      </c>
      <c r="F59" s="306">
        <f>IF(C59=0,0,E59/C59)</f>
        <v>0</v>
      </c>
    </row>
    <row r="60" spans="1:6" ht="24" customHeight="1" x14ac:dyDescent="0.2">
      <c r="A60" s="304">
        <v>2</v>
      </c>
      <c r="B60" s="305" t="s">
        <v>57</v>
      </c>
      <c r="C60" s="22">
        <v>14342431</v>
      </c>
      <c r="D60" s="22">
        <v>14181328</v>
      </c>
      <c r="E60" s="22">
        <f>D60-C60</f>
        <v>-161103</v>
      </c>
      <c r="F60" s="306">
        <f>IF(C60=0,0,E60/C60)</f>
        <v>-1.1232614610452022E-2</v>
      </c>
    </row>
    <row r="61" spans="1:6" ht="24" customHeight="1" x14ac:dyDescent="0.25">
      <c r="A61" s="307"/>
      <c r="B61" s="308" t="s">
        <v>58</v>
      </c>
      <c r="C61" s="309">
        <f>SUM(C59:C60)</f>
        <v>14342431</v>
      </c>
      <c r="D61" s="309">
        <f>SUM(D59:D60)</f>
        <v>14181328</v>
      </c>
      <c r="E61" s="309">
        <f>D61-C61</f>
        <v>-161103</v>
      </c>
      <c r="F61" s="310">
        <f>IF(C61=0,0,E61/C61)</f>
        <v>-1.1232614610452022E-2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32759034</v>
      </c>
      <c r="D63" s="22">
        <v>38712756</v>
      </c>
      <c r="E63" s="22">
        <f>D63-C63</f>
        <v>5953722</v>
      </c>
      <c r="F63" s="306">
        <f>IF(C63=0,0,E63/C63)</f>
        <v>0.1817429048732023</v>
      </c>
    </row>
    <row r="64" spans="1:6" ht="24" customHeight="1" x14ac:dyDescent="0.2">
      <c r="A64" s="304">
        <v>4</v>
      </c>
      <c r="B64" s="305" t="s">
        <v>60</v>
      </c>
      <c r="C64" s="22">
        <v>11706423</v>
      </c>
      <c r="D64" s="22">
        <v>9510836</v>
      </c>
      <c r="E64" s="22">
        <f>D64-C64</f>
        <v>-2195587</v>
      </c>
      <c r="F64" s="306">
        <f>IF(C64=0,0,E64/C64)</f>
        <v>-0.18755404618473123</v>
      </c>
    </row>
    <row r="65" spans="1:6" ht="24" customHeight="1" x14ac:dyDescent="0.25">
      <c r="A65" s="307"/>
      <c r="B65" s="308" t="s">
        <v>61</v>
      </c>
      <c r="C65" s="309">
        <f>SUM(C61:C64)</f>
        <v>58807888</v>
      </c>
      <c r="D65" s="309">
        <f>SUM(D61:D64)</f>
        <v>62404920</v>
      </c>
      <c r="E65" s="309">
        <f>D65-C65</f>
        <v>3597032</v>
      </c>
      <c r="F65" s="310">
        <f>IF(C65=0,0,E65/C65)</f>
        <v>6.1165808233072404E-2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-14756915</v>
      </c>
      <c r="D70" s="22">
        <v>-21716374</v>
      </c>
      <c r="E70" s="22">
        <f>D70-C70</f>
        <v>-6959459</v>
      </c>
      <c r="F70" s="306">
        <f>IF(C70=0,0,E70/C70)</f>
        <v>0.47160663322923524</v>
      </c>
    </row>
    <row r="71" spans="1:6" ht="24" customHeight="1" x14ac:dyDescent="0.2">
      <c r="A71" s="304">
        <v>2</v>
      </c>
      <c r="B71" s="305" t="s">
        <v>65</v>
      </c>
      <c r="C71" s="22">
        <v>840477</v>
      </c>
      <c r="D71" s="22">
        <v>1097163</v>
      </c>
      <c r="E71" s="22">
        <f>D71-C71</f>
        <v>256686</v>
      </c>
      <c r="F71" s="306">
        <f>IF(C71=0,0,E71/C71)</f>
        <v>0.30540514493555443</v>
      </c>
    </row>
    <row r="72" spans="1:6" ht="24" customHeight="1" x14ac:dyDescent="0.2">
      <c r="A72" s="304">
        <v>3</v>
      </c>
      <c r="B72" s="305" t="s">
        <v>66</v>
      </c>
      <c r="C72" s="22">
        <v>673763</v>
      </c>
      <c r="D72" s="22">
        <v>673763</v>
      </c>
      <c r="E72" s="22">
        <f>D72-C72</f>
        <v>0</v>
      </c>
      <c r="F72" s="306">
        <f>IF(C72=0,0,E72/C72)</f>
        <v>0</v>
      </c>
    </row>
    <row r="73" spans="1:6" ht="24" customHeight="1" x14ac:dyDescent="0.25">
      <c r="A73" s="304"/>
      <c r="B73" s="308" t="s">
        <v>67</v>
      </c>
      <c r="C73" s="309">
        <f>SUM(C70:C72)</f>
        <v>-13242675</v>
      </c>
      <c r="D73" s="309">
        <f>SUM(D70:D72)</f>
        <v>-19945448</v>
      </c>
      <c r="E73" s="309">
        <f>D73-C73</f>
        <v>-6702773</v>
      </c>
      <c r="F73" s="310">
        <f>IF(C73=0,0,E73/C73)</f>
        <v>0.50614947508717079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61683322</v>
      </c>
      <c r="D75" s="309">
        <f>D56+D65+D67+D73</f>
        <v>55495594</v>
      </c>
      <c r="E75" s="309">
        <f>D75-C75</f>
        <v>-6187728</v>
      </c>
      <c r="F75" s="310">
        <f>IF(C75=0,0,E75/C75)</f>
        <v>-0.10031444156007033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9" fitToHeight="0" orientation="portrait" horizontalDpi="1200" verticalDpi="1200" r:id="rId1"/>
  <headerFooter>
    <oddHeader>&amp;LOFFICE OF HEALTH CARE ACCESS&amp;CTWELVE MONTHS ACTUAL FILING&amp;RMILFORD HEALTH &amp;AMP; MEDICAL,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208174705</v>
      </c>
      <c r="D11" s="76">
        <v>215019271</v>
      </c>
      <c r="E11" s="76">
        <f t="shared" ref="E11:E20" si="0">D11-C11</f>
        <v>6844566</v>
      </c>
      <c r="F11" s="77">
        <f t="shared" ref="F11:F20" si="1">IF(C11=0,0,E11/C11)</f>
        <v>3.2878951359628442E-2</v>
      </c>
    </row>
    <row r="12" spans="1:7" ht="23.1" customHeight="1" x14ac:dyDescent="0.2">
      <c r="A12" s="74">
        <v>2</v>
      </c>
      <c r="B12" s="75" t="s">
        <v>72</v>
      </c>
      <c r="C12" s="76">
        <v>137335045</v>
      </c>
      <c r="D12" s="76">
        <v>142360423</v>
      </c>
      <c r="E12" s="76">
        <f t="shared" si="0"/>
        <v>5025378</v>
      </c>
      <c r="F12" s="77">
        <f t="shared" si="1"/>
        <v>3.659210218338662E-2</v>
      </c>
    </row>
    <row r="13" spans="1:7" ht="23.1" customHeight="1" x14ac:dyDescent="0.2">
      <c r="A13" s="74">
        <v>3</v>
      </c>
      <c r="B13" s="75" t="s">
        <v>73</v>
      </c>
      <c r="C13" s="76">
        <v>245354</v>
      </c>
      <c r="D13" s="76">
        <v>300473</v>
      </c>
      <c r="E13" s="76">
        <f t="shared" si="0"/>
        <v>55119</v>
      </c>
      <c r="F13" s="77">
        <f t="shared" si="1"/>
        <v>0.22465091255899639</v>
      </c>
    </row>
    <row r="14" spans="1:7" ht="23.1" customHeight="1" x14ac:dyDescent="0.2">
      <c r="A14" s="74">
        <v>4</v>
      </c>
      <c r="B14" s="75" t="s">
        <v>74</v>
      </c>
      <c r="C14" s="76">
        <v>1796306</v>
      </c>
      <c r="D14" s="76">
        <v>829025</v>
      </c>
      <c r="E14" s="76">
        <f t="shared" si="0"/>
        <v>-967281</v>
      </c>
      <c r="F14" s="77">
        <f t="shared" si="1"/>
        <v>-0.53848342097615887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68798000</v>
      </c>
      <c r="D15" s="79">
        <f>D11-D12-D13-D14</f>
        <v>71529350</v>
      </c>
      <c r="E15" s="79">
        <f t="shared" si="0"/>
        <v>2731350</v>
      </c>
      <c r="F15" s="80">
        <f t="shared" si="1"/>
        <v>3.9701008750254368E-2</v>
      </c>
    </row>
    <row r="16" spans="1:7" ht="23.1" customHeight="1" x14ac:dyDescent="0.2">
      <c r="A16" s="74">
        <v>5</v>
      </c>
      <c r="B16" s="75" t="s">
        <v>76</v>
      </c>
      <c r="C16" s="76">
        <v>3898291</v>
      </c>
      <c r="D16" s="76">
        <v>4423668</v>
      </c>
      <c r="E16" s="76">
        <f t="shared" si="0"/>
        <v>525377</v>
      </c>
      <c r="F16" s="77">
        <f t="shared" si="1"/>
        <v>0.13477110867300568</v>
      </c>
      <c r="G16" s="65"/>
    </row>
    <row r="17" spans="1:7" ht="31.5" customHeight="1" x14ac:dyDescent="0.25">
      <c r="A17" s="71"/>
      <c r="B17" s="81" t="s">
        <v>77</v>
      </c>
      <c r="C17" s="79">
        <f>C15-C16</f>
        <v>64899709</v>
      </c>
      <c r="D17" s="79">
        <f>D15-D16</f>
        <v>67105682</v>
      </c>
      <c r="E17" s="79">
        <f t="shared" si="0"/>
        <v>2205973</v>
      </c>
      <c r="F17" s="80">
        <f t="shared" si="1"/>
        <v>3.3990491390338898E-2</v>
      </c>
    </row>
    <row r="18" spans="1:7" ht="23.1" customHeight="1" x14ac:dyDescent="0.2">
      <c r="A18" s="74">
        <v>6</v>
      </c>
      <c r="B18" s="75" t="s">
        <v>78</v>
      </c>
      <c r="C18" s="76">
        <v>4647727</v>
      </c>
      <c r="D18" s="76">
        <v>6894033</v>
      </c>
      <c r="E18" s="76">
        <f t="shared" si="0"/>
        <v>2246306</v>
      </c>
      <c r="F18" s="77">
        <f t="shared" si="1"/>
        <v>0.48331281075674193</v>
      </c>
      <c r="G18" s="65"/>
    </row>
    <row r="19" spans="1:7" ht="33" customHeight="1" x14ac:dyDescent="0.2">
      <c r="A19" s="74">
        <v>7</v>
      </c>
      <c r="B19" s="82" t="s">
        <v>79</v>
      </c>
      <c r="C19" s="76">
        <v>0</v>
      </c>
      <c r="D19" s="76">
        <v>0</v>
      </c>
      <c r="E19" s="76">
        <f t="shared" si="0"/>
        <v>0</v>
      </c>
      <c r="F19" s="77">
        <f t="shared" si="1"/>
        <v>0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69547436</v>
      </c>
      <c r="D20" s="79">
        <f>SUM(D17:D19)</f>
        <v>73999715</v>
      </c>
      <c r="E20" s="79">
        <f t="shared" si="0"/>
        <v>4452279</v>
      </c>
      <c r="F20" s="80">
        <f t="shared" si="1"/>
        <v>6.4017874073747302E-2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35312951</v>
      </c>
      <c r="D23" s="76">
        <v>37903511</v>
      </c>
      <c r="E23" s="76">
        <f t="shared" ref="E23:E32" si="2">D23-C23</f>
        <v>2590560</v>
      </c>
      <c r="F23" s="77">
        <f t="shared" ref="F23:F32" si="3">IF(C23=0,0,E23/C23)</f>
        <v>7.3360054219201332E-2</v>
      </c>
    </row>
    <row r="24" spans="1:7" ht="23.1" customHeight="1" x14ac:dyDescent="0.2">
      <c r="A24" s="74">
        <v>2</v>
      </c>
      <c r="B24" s="75" t="s">
        <v>83</v>
      </c>
      <c r="C24" s="76">
        <v>10890607</v>
      </c>
      <c r="D24" s="76">
        <v>9273563</v>
      </c>
      <c r="E24" s="76">
        <f t="shared" si="2"/>
        <v>-1617044</v>
      </c>
      <c r="F24" s="77">
        <f t="shared" si="3"/>
        <v>-0.14848061269679458</v>
      </c>
    </row>
    <row r="25" spans="1:7" ht="23.1" customHeight="1" x14ac:dyDescent="0.2">
      <c r="A25" s="74">
        <v>3</v>
      </c>
      <c r="B25" s="75" t="s">
        <v>84</v>
      </c>
      <c r="C25" s="76">
        <v>1108353</v>
      </c>
      <c r="D25" s="76">
        <v>985221</v>
      </c>
      <c r="E25" s="76">
        <f t="shared" si="2"/>
        <v>-123132</v>
      </c>
      <c r="F25" s="77">
        <f t="shared" si="3"/>
        <v>-0.11109457005123818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11980208</v>
      </c>
      <c r="D26" s="76">
        <v>12144661</v>
      </c>
      <c r="E26" s="76">
        <f t="shared" si="2"/>
        <v>164453</v>
      </c>
      <c r="F26" s="77">
        <f t="shared" si="3"/>
        <v>1.3727057159608581E-2</v>
      </c>
    </row>
    <row r="27" spans="1:7" ht="23.1" customHeight="1" x14ac:dyDescent="0.2">
      <c r="A27" s="74">
        <v>5</v>
      </c>
      <c r="B27" s="75" t="s">
        <v>86</v>
      </c>
      <c r="C27" s="76">
        <v>2766285</v>
      </c>
      <c r="D27" s="76">
        <v>2647890</v>
      </c>
      <c r="E27" s="76">
        <f t="shared" si="2"/>
        <v>-118395</v>
      </c>
      <c r="F27" s="77">
        <f t="shared" si="3"/>
        <v>-4.2799277731687083E-2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502550</v>
      </c>
      <c r="D29" s="76">
        <v>478076</v>
      </c>
      <c r="E29" s="76">
        <f t="shared" si="2"/>
        <v>-24474</v>
      </c>
      <c r="F29" s="77">
        <f t="shared" si="3"/>
        <v>-4.8699631877425133E-2</v>
      </c>
    </row>
    <row r="30" spans="1:7" ht="23.1" customHeight="1" x14ac:dyDescent="0.2">
      <c r="A30" s="74">
        <v>8</v>
      </c>
      <c r="B30" s="75" t="s">
        <v>89</v>
      </c>
      <c r="C30" s="76">
        <v>711640</v>
      </c>
      <c r="D30" s="76">
        <v>572805</v>
      </c>
      <c r="E30" s="76">
        <f t="shared" si="2"/>
        <v>-138835</v>
      </c>
      <c r="F30" s="77">
        <f t="shared" si="3"/>
        <v>-0.1950916193581024</v>
      </c>
    </row>
    <row r="31" spans="1:7" ht="23.1" customHeight="1" x14ac:dyDescent="0.2">
      <c r="A31" s="74">
        <v>9</v>
      </c>
      <c r="B31" s="75" t="s">
        <v>90</v>
      </c>
      <c r="C31" s="76">
        <v>14143222</v>
      </c>
      <c r="D31" s="76">
        <v>12172684</v>
      </c>
      <c r="E31" s="76">
        <f t="shared" si="2"/>
        <v>-1970538</v>
      </c>
      <c r="F31" s="77">
        <f t="shared" si="3"/>
        <v>-0.13932737533215558</v>
      </c>
    </row>
    <row r="32" spans="1:7" ht="23.1" customHeight="1" x14ac:dyDescent="0.25">
      <c r="A32" s="71"/>
      <c r="B32" s="78" t="s">
        <v>91</v>
      </c>
      <c r="C32" s="79">
        <f>SUM(C23:C31)</f>
        <v>77415816</v>
      </c>
      <c r="D32" s="79">
        <f>SUM(D23:D31)</f>
        <v>76178411</v>
      </c>
      <c r="E32" s="79">
        <f t="shared" si="2"/>
        <v>-1237405</v>
      </c>
      <c r="F32" s="80">
        <f t="shared" si="3"/>
        <v>-1.598387853975472E-2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-7868380</v>
      </c>
      <c r="D34" s="79">
        <f>+D20-D32</f>
        <v>-2178696</v>
      </c>
      <c r="E34" s="79">
        <f>D34-C34</f>
        <v>5689684</v>
      </c>
      <c r="F34" s="80">
        <f>IF(C34=0,0,E34/C34)</f>
        <v>-0.72310742490830382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1632871</v>
      </c>
      <c r="D37" s="76">
        <v>715392</v>
      </c>
      <c r="E37" s="76">
        <f>D37-C37</f>
        <v>-917479</v>
      </c>
      <c r="F37" s="77">
        <f>IF(C37=0,0,E37/C37)</f>
        <v>-0.56188088342557374</v>
      </c>
    </row>
    <row r="38" spans="1:6" ht="23.1" customHeight="1" x14ac:dyDescent="0.2">
      <c r="A38" s="85">
        <v>2</v>
      </c>
      <c r="B38" s="75" t="s">
        <v>95</v>
      </c>
      <c r="C38" s="76">
        <v>150308</v>
      </c>
      <c r="D38" s="76">
        <v>213527</v>
      </c>
      <c r="E38" s="76">
        <f>D38-C38</f>
        <v>63219</v>
      </c>
      <c r="F38" s="77">
        <f>IF(C38=0,0,E38/C38)</f>
        <v>0.4205963754424249</v>
      </c>
    </row>
    <row r="39" spans="1:6" ht="23.1" customHeight="1" x14ac:dyDescent="0.2">
      <c r="A39" s="85">
        <v>3</v>
      </c>
      <c r="B39" s="75" t="s">
        <v>96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5">
      <c r="A40" s="83"/>
      <c r="B40" s="78" t="s">
        <v>97</v>
      </c>
      <c r="C40" s="79">
        <f>SUM(C37:C39)</f>
        <v>1783179</v>
      </c>
      <c r="D40" s="79">
        <f>SUM(D37:D39)</f>
        <v>928919</v>
      </c>
      <c r="E40" s="79">
        <f>D40-C40</f>
        <v>-854260</v>
      </c>
      <c r="F40" s="80">
        <f>IF(C40=0,0,E40/C40)</f>
        <v>-0.47906575840114762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-6085201</v>
      </c>
      <c r="D42" s="79">
        <f>D34+D40</f>
        <v>-1249777</v>
      </c>
      <c r="E42" s="79">
        <f>D42-C42</f>
        <v>4835424</v>
      </c>
      <c r="F42" s="80">
        <f>IF(C42=0,0,E42/C42)</f>
        <v>-0.79462025987309215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-571356</v>
      </c>
      <c r="D45" s="76">
        <v>201357</v>
      </c>
      <c r="E45" s="76">
        <f>D45-C45</f>
        <v>772713</v>
      </c>
      <c r="F45" s="77">
        <f>IF(C45=0,0,E45/C45)</f>
        <v>-1.3524195072774243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-571356</v>
      </c>
      <c r="D47" s="79">
        <f>SUM(D45:D46)</f>
        <v>201357</v>
      </c>
      <c r="E47" s="79">
        <f>D47-C47</f>
        <v>772713</v>
      </c>
      <c r="F47" s="80">
        <f>IF(C47=0,0,E47/C47)</f>
        <v>-1.3524195072774243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-6656557</v>
      </c>
      <c r="D49" s="79">
        <f>D42+D47</f>
        <v>-1048420</v>
      </c>
      <c r="E49" s="79">
        <f>D49-C49</f>
        <v>5608137</v>
      </c>
      <c r="F49" s="80">
        <f>IF(C49=0,0,E49/C49)</f>
        <v>-0.84249815632916536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FILING&amp;R&amp;8MILFORD HEALTH &amp;AMP; MEDICAL, 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2017-09-19T17:16:16Z</cp:lastPrinted>
  <dcterms:created xsi:type="dcterms:W3CDTF">2017-09-14T16:22:37Z</dcterms:created>
  <dcterms:modified xsi:type="dcterms:W3CDTF">2017-09-19T17:16:28Z</dcterms:modified>
</cp:coreProperties>
</file>