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E92" i="22"/>
  <c r="D92" i="22"/>
  <c r="C92" i="22"/>
  <c r="E91" i="22"/>
  <c r="E93" i="22" s="1"/>
  <c r="D91" i="22"/>
  <c r="D93" i="22" s="1"/>
  <c r="C91" i="22"/>
  <c r="E87" i="22"/>
  <c r="D87" i="22"/>
  <c r="C87" i="22"/>
  <c r="C88" i="22" s="1"/>
  <c r="E86" i="22"/>
  <c r="D86" i="22"/>
  <c r="C86" i="22"/>
  <c r="E83" i="22"/>
  <c r="E102" i="22" s="1"/>
  <c r="D83" i="22"/>
  <c r="C83" i="22"/>
  <c r="E76" i="22"/>
  <c r="D76" i="22"/>
  <c r="C76" i="22"/>
  <c r="E75" i="22"/>
  <c r="D75" i="22"/>
  <c r="D77" i="22" s="1"/>
  <c r="C75" i="22"/>
  <c r="C101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D12" i="22"/>
  <c r="C12" i="22"/>
  <c r="D21" i="21"/>
  <c r="E21" i="21" s="1"/>
  <c r="F21" i="21" s="1"/>
  <c r="C21" i="21"/>
  <c r="D19" i="21"/>
  <c r="E19" i="21" s="1"/>
  <c r="F19" i="21" s="1"/>
  <c r="C19" i="21"/>
  <c r="E17" i="21"/>
  <c r="F17" i="21" s="1"/>
  <c r="E15" i="21"/>
  <c r="F15" i="21" s="1"/>
  <c r="D45" i="20"/>
  <c r="C45" i="20"/>
  <c r="D44" i="20"/>
  <c r="E44" i="20" s="1"/>
  <c r="C44" i="20"/>
  <c r="D43" i="20"/>
  <c r="D46" i="20" s="1"/>
  <c r="C43" i="20"/>
  <c r="D36" i="20"/>
  <c r="D40" i="20" s="1"/>
  <c r="C36" i="20"/>
  <c r="C40" i="20"/>
  <c r="E35" i="20"/>
  <c r="F35" i="20" s="1"/>
  <c r="F34" i="20"/>
  <c r="E34" i="20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D41" i="20" s="1"/>
  <c r="C25" i="20"/>
  <c r="C39" i="20"/>
  <c r="C41" i="20" s="1"/>
  <c r="E24" i="20"/>
  <c r="F24" i="20" s="1"/>
  <c r="E23" i="20"/>
  <c r="F23" i="20" s="1"/>
  <c r="E22" i="20"/>
  <c r="F22" i="20" s="1"/>
  <c r="D19" i="20"/>
  <c r="D20" i="20" s="1"/>
  <c r="C19" i="20"/>
  <c r="E18" i="20"/>
  <c r="F18" i="20" s="1"/>
  <c r="D16" i="20"/>
  <c r="E16" i="20" s="1"/>
  <c r="F16" i="20" s="1"/>
  <c r="C16" i="20"/>
  <c r="E15" i="20"/>
  <c r="F15" i="20" s="1"/>
  <c r="E13" i="20"/>
  <c r="F13" i="20" s="1"/>
  <c r="E12" i="20"/>
  <c r="F12" i="20" s="1"/>
  <c r="C115" i="19"/>
  <c r="C105" i="19"/>
  <c r="C137" i="19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C22" i="19" s="1"/>
  <c r="C37" i="19"/>
  <c r="C38" i="19" s="1"/>
  <c r="E328" i="18"/>
  <c r="E325" i="18"/>
  <c r="D324" i="18"/>
  <c r="D326" i="18"/>
  <c r="C324" i="18"/>
  <c r="C326" i="18" s="1"/>
  <c r="C330" i="18" s="1"/>
  <c r="E318" i="18"/>
  <c r="E315" i="18"/>
  <c r="D314" i="18"/>
  <c r="C314" i="18"/>
  <c r="C316" i="18" s="1"/>
  <c r="C320" i="18" s="1"/>
  <c r="E308" i="18"/>
  <c r="E305" i="18"/>
  <c r="D301" i="18"/>
  <c r="C301" i="18"/>
  <c r="D293" i="18"/>
  <c r="E293" i="18" s="1"/>
  <c r="C293" i="18"/>
  <c r="D292" i="18"/>
  <c r="E292" i="18" s="1"/>
  <c r="C292" i="18"/>
  <c r="D291" i="18"/>
  <c r="E291" i="18" s="1"/>
  <c r="C291" i="18"/>
  <c r="D290" i="18"/>
  <c r="C290" i="18"/>
  <c r="E290" i="18"/>
  <c r="D288" i="18"/>
  <c r="E288" i="18" s="1"/>
  <c r="C288" i="18"/>
  <c r="D287" i="18"/>
  <c r="E287" i="18" s="1"/>
  <c r="C287" i="18"/>
  <c r="D282" i="18"/>
  <c r="C282" i="18"/>
  <c r="E282" i="18" s="1"/>
  <c r="D281" i="18"/>
  <c r="E281" i="18" s="1"/>
  <c r="C281" i="18"/>
  <c r="D280" i="18"/>
  <c r="C280" i="18"/>
  <c r="D279" i="18"/>
  <c r="E279" i="18"/>
  <c r="C279" i="18"/>
  <c r="D278" i="18"/>
  <c r="C278" i="18"/>
  <c r="D277" i="18"/>
  <c r="C277" i="18"/>
  <c r="E277" i="18" s="1"/>
  <c r="D276" i="18"/>
  <c r="C276" i="18"/>
  <c r="E276" i="18"/>
  <c r="E270" i="18"/>
  <c r="D265" i="18"/>
  <c r="C265" i="18"/>
  <c r="C302" i="18"/>
  <c r="D262" i="18"/>
  <c r="E262" i="18" s="1"/>
  <c r="C262" i="18"/>
  <c r="D251" i="18"/>
  <c r="C251" i="18"/>
  <c r="D233" i="18"/>
  <c r="E233" i="18" s="1"/>
  <c r="C233" i="18"/>
  <c r="D232" i="18"/>
  <c r="C232" i="18"/>
  <c r="D231" i="18"/>
  <c r="C231" i="18"/>
  <c r="D230" i="18"/>
  <c r="E230" i="18" s="1"/>
  <c r="C230" i="18"/>
  <c r="D228" i="18"/>
  <c r="E228" i="18" s="1"/>
  <c r="C228" i="18"/>
  <c r="D227" i="18"/>
  <c r="C227" i="18"/>
  <c r="D221" i="18"/>
  <c r="C221" i="18"/>
  <c r="C245" i="18"/>
  <c r="D220" i="18"/>
  <c r="D244" i="18"/>
  <c r="E244" i="18" s="1"/>
  <c r="C220" i="18"/>
  <c r="C244" i="18" s="1"/>
  <c r="D219" i="18"/>
  <c r="C219" i="18"/>
  <c r="E219" i="18" s="1"/>
  <c r="D218" i="18"/>
  <c r="D242" i="18" s="1"/>
  <c r="E242" i="18" s="1"/>
  <c r="C218" i="18"/>
  <c r="C217" i="18" s="1"/>
  <c r="D216" i="18"/>
  <c r="D240" i="18" s="1"/>
  <c r="C216" i="18"/>
  <c r="D215" i="18"/>
  <c r="C215" i="18"/>
  <c r="C239" i="18" s="1"/>
  <c r="E209" i="18"/>
  <c r="E208" i="18"/>
  <c r="E207" i="18"/>
  <c r="E206" i="18"/>
  <c r="D205" i="18"/>
  <c r="D210" i="18" s="1"/>
  <c r="D229" i="18"/>
  <c r="C205" i="18"/>
  <c r="C210" i="18" s="1"/>
  <c r="E204" i="18"/>
  <c r="E203" i="18"/>
  <c r="E197" i="18"/>
  <c r="E196" i="18"/>
  <c r="D195" i="18"/>
  <c r="C195" i="18"/>
  <c r="E194" i="18"/>
  <c r="E193" i="18"/>
  <c r="E192" i="18"/>
  <c r="E191" i="18"/>
  <c r="E190" i="18"/>
  <c r="D188" i="18"/>
  <c r="D261" i="18" s="1"/>
  <c r="C188" i="18"/>
  <c r="E186" i="18"/>
  <c r="E185" i="18"/>
  <c r="D179" i="18"/>
  <c r="C179" i="18"/>
  <c r="D178" i="18"/>
  <c r="C178" i="18"/>
  <c r="D177" i="18"/>
  <c r="E177" i="18"/>
  <c r="C177" i="18"/>
  <c r="D176" i="18"/>
  <c r="E176" i="18" s="1"/>
  <c r="C176" i="18"/>
  <c r="D174" i="18"/>
  <c r="C174" i="18"/>
  <c r="E174" i="18"/>
  <c r="D173" i="18"/>
  <c r="E173" i="18" s="1"/>
  <c r="C173" i="18"/>
  <c r="D167" i="18"/>
  <c r="E167" i="18" s="1"/>
  <c r="C167" i="18"/>
  <c r="D166" i="18"/>
  <c r="C166" i="18"/>
  <c r="E166" i="18" s="1"/>
  <c r="D165" i="18"/>
  <c r="E165" i="18" s="1"/>
  <c r="C165" i="18"/>
  <c r="D164" i="18"/>
  <c r="E164" i="18"/>
  <c r="C164" i="18"/>
  <c r="D162" i="18"/>
  <c r="C162" i="18"/>
  <c r="D161" i="18"/>
  <c r="C161" i="18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D175" i="18" s="1"/>
  <c r="C139" i="18"/>
  <c r="C163" i="18" s="1"/>
  <c r="E138" i="18"/>
  <c r="E137" i="18"/>
  <c r="D75" i="18"/>
  <c r="E75" i="18"/>
  <c r="C75" i="18"/>
  <c r="D74" i="18"/>
  <c r="C74" i="18"/>
  <c r="E74" i="18" s="1"/>
  <c r="D73" i="18"/>
  <c r="E73" i="18" s="1"/>
  <c r="C73" i="18"/>
  <c r="D72" i="18"/>
  <c r="E72" i="18" s="1"/>
  <c r="C72" i="18"/>
  <c r="D70" i="18"/>
  <c r="D76" i="18" s="1"/>
  <c r="C70" i="18"/>
  <c r="E70" i="18" s="1"/>
  <c r="D69" i="18"/>
  <c r="E69" i="18" s="1"/>
  <c r="C69" i="18"/>
  <c r="E64" i="18"/>
  <c r="E63" i="18"/>
  <c r="E62" i="18"/>
  <c r="E61" i="18"/>
  <c r="D60" i="18"/>
  <c r="D71" i="18" s="1"/>
  <c r="C60" i="18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E42" i="18" s="1"/>
  <c r="C42" i="18"/>
  <c r="D41" i="18"/>
  <c r="E41" i="18" s="1"/>
  <c r="C41" i="18"/>
  <c r="D40" i="18"/>
  <c r="C40" i="18"/>
  <c r="E40" i="18" s="1"/>
  <c r="D39" i="18"/>
  <c r="C39" i="18"/>
  <c r="D38" i="18"/>
  <c r="C38" i="18"/>
  <c r="D37" i="18"/>
  <c r="E37" i="18" s="1"/>
  <c r="C37" i="18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D21" i="18"/>
  <c r="C21" i="18"/>
  <c r="C22" i="18" s="1"/>
  <c r="C284" i="18" s="1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 s="1"/>
  <c r="F332" i="17"/>
  <c r="E332" i="17"/>
  <c r="F331" i="17"/>
  <c r="E331" i="17"/>
  <c r="F330" i="17"/>
  <c r="E330" i="17"/>
  <c r="E329" i="17"/>
  <c r="F329" i="17" s="1"/>
  <c r="F316" i="17"/>
  <c r="E316" i="17"/>
  <c r="F311" i="17"/>
  <c r="D311" i="17"/>
  <c r="E311" i="17" s="1"/>
  <c r="C311" i="17"/>
  <c r="E308" i="17"/>
  <c r="F308" i="17" s="1"/>
  <c r="D307" i="17"/>
  <c r="C307" i="17"/>
  <c r="D299" i="17"/>
  <c r="E299" i="17" s="1"/>
  <c r="F299" i="17" s="1"/>
  <c r="C299" i="17"/>
  <c r="D298" i="17"/>
  <c r="C298" i="17"/>
  <c r="D297" i="17"/>
  <c r="C297" i="17"/>
  <c r="D296" i="17"/>
  <c r="C296" i="17"/>
  <c r="D295" i="17"/>
  <c r="E295" i="17" s="1"/>
  <c r="C295" i="17"/>
  <c r="D294" i="17"/>
  <c r="C294" i="17"/>
  <c r="D250" i="17"/>
  <c r="C250" i="17"/>
  <c r="C306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E238" i="17" s="1"/>
  <c r="D237" i="17"/>
  <c r="C237" i="17"/>
  <c r="E234" i="17"/>
  <c r="F234" i="17" s="1"/>
  <c r="E233" i="17"/>
  <c r="F233" i="17" s="1"/>
  <c r="D230" i="17"/>
  <c r="E230" i="17"/>
  <c r="F230" i="17" s="1"/>
  <c r="C230" i="17"/>
  <c r="D229" i="17"/>
  <c r="E229" i="17" s="1"/>
  <c r="F229" i="17" s="1"/>
  <c r="C229" i="17"/>
  <c r="E228" i="17"/>
  <c r="F228" i="17" s="1"/>
  <c r="D226" i="17"/>
  <c r="E226" i="17" s="1"/>
  <c r="F226" i="17" s="1"/>
  <c r="C226" i="17"/>
  <c r="C227" i="17"/>
  <c r="E225" i="17"/>
  <c r="F225" i="17"/>
  <c r="E224" i="17"/>
  <c r="F224" i="17" s="1"/>
  <c r="D223" i="17"/>
  <c r="C223" i="17"/>
  <c r="E223" i="17" s="1"/>
  <c r="E222" i="17"/>
  <c r="F222" i="17" s="1"/>
  <c r="E221" i="17"/>
  <c r="F221" i="17" s="1"/>
  <c r="D204" i="17"/>
  <c r="C204" i="17"/>
  <c r="D203" i="17"/>
  <c r="C203" i="17"/>
  <c r="C283" i="17" s="1"/>
  <c r="D198" i="17"/>
  <c r="C198" i="17"/>
  <c r="C290" i="17" s="1"/>
  <c r="D191" i="17"/>
  <c r="C191" i="17"/>
  <c r="C280" i="17"/>
  <c r="D189" i="17"/>
  <c r="D262" i="17"/>
  <c r="C189" i="17"/>
  <c r="C278" i="17"/>
  <c r="D188" i="17"/>
  <c r="C188" i="17"/>
  <c r="C277" i="17" s="1"/>
  <c r="D180" i="17"/>
  <c r="D181" i="17" s="1"/>
  <c r="C180" i="17"/>
  <c r="D179" i="17"/>
  <c r="C179" i="17"/>
  <c r="D171" i="17"/>
  <c r="E171" i="17" s="1"/>
  <c r="C171" i="17"/>
  <c r="D170" i="17"/>
  <c r="C170" i="17"/>
  <c r="E169" i="17"/>
  <c r="F169" i="17" s="1"/>
  <c r="E168" i="17"/>
  <c r="F168" i="17" s="1"/>
  <c r="D165" i="17"/>
  <c r="E165" i="17" s="1"/>
  <c r="C165" i="17"/>
  <c r="D164" i="17"/>
  <c r="E164" i="17" s="1"/>
  <c r="C164" i="17"/>
  <c r="E163" i="17"/>
  <c r="F163" i="17" s="1"/>
  <c r="D158" i="17"/>
  <c r="C158" i="17"/>
  <c r="C159" i="17" s="1"/>
  <c r="E157" i="17"/>
  <c r="F157" i="17"/>
  <c r="E156" i="17"/>
  <c r="F156" i="17" s="1"/>
  <c r="D155" i="17"/>
  <c r="E155" i="17" s="1"/>
  <c r="F155" i="17" s="1"/>
  <c r="C155" i="17"/>
  <c r="E154" i="17"/>
  <c r="F154" i="17" s="1"/>
  <c r="E153" i="17"/>
  <c r="F153" i="17" s="1"/>
  <c r="D145" i="17"/>
  <c r="C145" i="17"/>
  <c r="C146" i="17" s="1"/>
  <c r="D144" i="17"/>
  <c r="E144" i="17"/>
  <c r="F144" i="17" s="1"/>
  <c r="C144" i="17"/>
  <c r="D136" i="17"/>
  <c r="E136" i="17" s="1"/>
  <c r="C136" i="17"/>
  <c r="F136" i="17" s="1"/>
  <c r="C137" i="17"/>
  <c r="D135" i="17"/>
  <c r="C135" i="17"/>
  <c r="E134" i="17"/>
  <c r="F134" i="17" s="1"/>
  <c r="E133" i="17"/>
  <c r="F133" i="17" s="1"/>
  <c r="D130" i="17"/>
  <c r="C130" i="17"/>
  <c r="D129" i="17"/>
  <c r="C129" i="17"/>
  <c r="E128" i="17"/>
  <c r="F128" i="17" s="1"/>
  <c r="D123" i="17"/>
  <c r="D124" i="17"/>
  <c r="C123" i="17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D111" i="17" s="1"/>
  <c r="C110" i="17"/>
  <c r="D109" i="17"/>
  <c r="C109" i="17"/>
  <c r="D101" i="17"/>
  <c r="C101" i="17"/>
  <c r="D100" i="17"/>
  <c r="C100" i="17"/>
  <c r="E99" i="17"/>
  <c r="F99" i="17" s="1"/>
  <c r="E98" i="17"/>
  <c r="F98" i="17" s="1"/>
  <c r="D95" i="17"/>
  <c r="C95" i="17"/>
  <c r="D94" i="17"/>
  <c r="C94" i="17"/>
  <c r="E93" i="17"/>
  <c r="F93" i="17"/>
  <c r="D88" i="17"/>
  <c r="D89" i="17" s="1"/>
  <c r="C88" i="17"/>
  <c r="E87" i="17"/>
  <c r="F87" i="17" s="1"/>
  <c r="E86" i="17"/>
  <c r="F86" i="17" s="1"/>
  <c r="D85" i="17"/>
  <c r="C85" i="17"/>
  <c r="E84" i="17"/>
  <c r="F84" i="17" s="1"/>
  <c r="E83" i="17"/>
  <c r="F83" i="17" s="1"/>
  <c r="D76" i="17"/>
  <c r="C76" i="17"/>
  <c r="C77" i="17" s="1"/>
  <c r="E74" i="17"/>
  <c r="F74" i="17" s="1"/>
  <c r="F73" i="17"/>
  <c r="E73" i="17"/>
  <c r="D67" i="17"/>
  <c r="C67" i="17"/>
  <c r="E67" i="17" s="1"/>
  <c r="D66" i="17"/>
  <c r="C66" i="17"/>
  <c r="D59" i="17"/>
  <c r="E59" i="17"/>
  <c r="F59" i="17" s="1"/>
  <c r="C59" i="17"/>
  <c r="C60" i="17" s="1"/>
  <c r="C61" i="17" s="1"/>
  <c r="C139" i="17" s="1"/>
  <c r="D58" i="17"/>
  <c r="C58" i="17"/>
  <c r="E57" i="17"/>
  <c r="F57" i="17" s="1"/>
  <c r="E56" i="17"/>
  <c r="F56" i="17" s="1"/>
  <c r="D53" i="17"/>
  <c r="E53" i="17" s="1"/>
  <c r="C53" i="17"/>
  <c r="D52" i="17"/>
  <c r="C52" i="17"/>
  <c r="E51" i="17"/>
  <c r="F51" i="17" s="1"/>
  <c r="D47" i="17"/>
  <c r="C47" i="17"/>
  <c r="E46" i="17"/>
  <c r="F46" i="17" s="1"/>
  <c r="E45" i="17"/>
  <c r="F45" i="17" s="1"/>
  <c r="D44" i="17"/>
  <c r="C44" i="17"/>
  <c r="E44" i="17" s="1"/>
  <c r="F44" i="17" s="1"/>
  <c r="E43" i="17"/>
  <c r="F43" i="17" s="1"/>
  <c r="E42" i="17"/>
  <c r="F42" i="17" s="1"/>
  <c r="D36" i="17"/>
  <c r="E36" i="17"/>
  <c r="F36" i="17" s="1"/>
  <c r="C36" i="17"/>
  <c r="D35" i="17"/>
  <c r="C35" i="17"/>
  <c r="D30" i="17"/>
  <c r="E30" i="17" s="1"/>
  <c r="F30" i="17" s="1"/>
  <c r="C30" i="17"/>
  <c r="C31" i="17"/>
  <c r="D29" i="17"/>
  <c r="C29" i="17"/>
  <c r="E28" i="17"/>
  <c r="F28" i="17" s="1"/>
  <c r="E27" i="17"/>
  <c r="F27" i="17" s="1"/>
  <c r="D24" i="17"/>
  <c r="E24" i="17" s="1"/>
  <c r="C24" i="17"/>
  <c r="D23" i="17"/>
  <c r="E23" i="17" s="1"/>
  <c r="C23" i="17"/>
  <c r="E22" i="17"/>
  <c r="F22" i="17" s="1"/>
  <c r="D20" i="17"/>
  <c r="C20" i="17"/>
  <c r="E19" i="17"/>
  <c r="F19" i="17" s="1"/>
  <c r="E18" i="17"/>
  <c r="F18" i="17" s="1"/>
  <c r="D17" i="17"/>
  <c r="E17" i="17" s="1"/>
  <c r="C17" i="17"/>
  <c r="E16" i="17"/>
  <c r="F16" i="17" s="1"/>
  <c r="F15" i="17"/>
  <c r="E15" i="17"/>
  <c r="D21" i="16"/>
  <c r="E21" i="16" s="1"/>
  <c r="C21" i="16"/>
  <c r="F20" i="16"/>
  <c r="E20" i="16"/>
  <c r="D17" i="16"/>
  <c r="E17" i="16" s="1"/>
  <c r="F17" i="16" s="1"/>
  <c r="C17" i="16"/>
  <c r="E16" i="16"/>
  <c r="F16" i="16" s="1"/>
  <c r="D13" i="16"/>
  <c r="E13" i="16" s="1"/>
  <c r="F13" i="16"/>
  <c r="C13" i="16"/>
  <c r="F12" i="16"/>
  <c r="E12" i="16"/>
  <c r="D107" i="15"/>
  <c r="E107" i="15" s="1"/>
  <c r="C107" i="15"/>
  <c r="E106" i="15"/>
  <c r="F106" i="15" s="1"/>
  <c r="F105" i="15"/>
  <c r="E105" i="15"/>
  <c r="E104" i="15"/>
  <c r="F104" i="15" s="1"/>
  <c r="D100" i="15"/>
  <c r="C100" i="15"/>
  <c r="E99" i="15"/>
  <c r="F99" i="15" s="1"/>
  <c r="E98" i="15"/>
  <c r="F98" i="15" s="1"/>
  <c r="F97" i="15"/>
  <c r="E97" i="15"/>
  <c r="F96" i="15"/>
  <c r="E96" i="15"/>
  <c r="E95" i="15"/>
  <c r="F95" i="15" s="1"/>
  <c r="D92" i="15"/>
  <c r="E92" i="15" s="1"/>
  <c r="F92" i="15" s="1"/>
  <c r="C92" i="15"/>
  <c r="E91" i="15"/>
  <c r="F91" i="15" s="1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E81" i="15"/>
  <c r="F81" i="15" s="1"/>
  <c r="F80" i="15"/>
  <c r="E80" i="15"/>
  <c r="F79" i="15"/>
  <c r="E79" i="15"/>
  <c r="D75" i="15"/>
  <c r="C75" i="15"/>
  <c r="E74" i="15"/>
  <c r="F74" i="15"/>
  <c r="E73" i="15"/>
  <c r="F73" i="15" s="1"/>
  <c r="D70" i="15"/>
  <c r="E70" i="15" s="1"/>
  <c r="C70" i="15"/>
  <c r="E69" i="15"/>
  <c r="F69" i="15"/>
  <c r="E68" i="15"/>
  <c r="F68" i="15" s="1"/>
  <c r="D65" i="15"/>
  <c r="E65" i="15" s="1"/>
  <c r="C65" i="15"/>
  <c r="E64" i="15"/>
  <c r="F64" i="15"/>
  <c r="E63" i="15"/>
  <c r="F63" i="15" s="1"/>
  <c r="D60" i="15"/>
  <c r="C60" i="15"/>
  <c r="E59" i="15"/>
  <c r="F59" i="15" s="1"/>
  <c r="E58" i="15"/>
  <c r="F58" i="15" s="1"/>
  <c r="D55" i="15"/>
  <c r="C55" i="15"/>
  <c r="E54" i="15"/>
  <c r="F54" i="15" s="1"/>
  <c r="E53" i="15"/>
  <c r="F53" i="15" s="1"/>
  <c r="D50" i="15"/>
  <c r="C50" i="15"/>
  <c r="E49" i="15"/>
  <c r="F49" i="15" s="1"/>
  <c r="E48" i="15"/>
  <c r="F48" i="15" s="1"/>
  <c r="D45" i="15"/>
  <c r="C45" i="15"/>
  <c r="E44" i="15"/>
  <c r="F44" i="15"/>
  <c r="E43" i="15"/>
  <c r="F43" i="15" s="1"/>
  <c r="D37" i="15"/>
  <c r="C37" i="15"/>
  <c r="F36" i="15"/>
  <c r="E36" i="15"/>
  <c r="F35" i="15"/>
  <c r="E35" i="15"/>
  <c r="E34" i="15"/>
  <c r="F34" i="15" s="1"/>
  <c r="E33" i="15"/>
  <c r="F33" i="15" s="1"/>
  <c r="D30" i="15"/>
  <c r="C30" i="15"/>
  <c r="F29" i="15"/>
  <c r="E29" i="15"/>
  <c r="F28" i="15"/>
  <c r="E28" i="15"/>
  <c r="E27" i="15"/>
  <c r="F27" i="15" s="1"/>
  <c r="F26" i="15"/>
  <c r="E26" i="15"/>
  <c r="D23" i="15"/>
  <c r="C23" i="15"/>
  <c r="F22" i="15"/>
  <c r="E22" i="15"/>
  <c r="E21" i="15"/>
  <c r="F21" i="15" s="1"/>
  <c r="E20" i="15"/>
  <c r="F20" i="15" s="1"/>
  <c r="E19" i="15"/>
  <c r="F19" i="15" s="1"/>
  <c r="D16" i="15"/>
  <c r="C16" i="15"/>
  <c r="F15" i="15"/>
  <c r="E15" i="15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 s="1"/>
  <c r="F17" i="14"/>
  <c r="F31" i="14" s="1"/>
  <c r="E17" i="14"/>
  <c r="E31" i="14" s="1"/>
  <c r="E33" i="14"/>
  <c r="E36" i="14" s="1"/>
  <c r="E38" i="14" s="1"/>
  <c r="E40" i="14" s="1"/>
  <c r="D17" i="14"/>
  <c r="D31" i="14" s="1"/>
  <c r="C17" i="14"/>
  <c r="C33" i="14" s="1"/>
  <c r="C36" i="14"/>
  <c r="C38" i="14" s="1"/>
  <c r="C40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 s="1"/>
  <c r="D77" i="13" s="1"/>
  <c r="C78" i="13"/>
  <c r="E73" i="13"/>
  <c r="E75" i="13" s="1"/>
  <c r="D73" i="13"/>
  <c r="D75" i="13" s="1"/>
  <c r="C73" i="13"/>
  <c r="C75" i="13" s="1"/>
  <c r="E71" i="13"/>
  <c r="D71" i="13"/>
  <c r="C71" i="13"/>
  <c r="E66" i="13"/>
  <c r="E65" i="13"/>
  <c r="D66" i="13"/>
  <c r="D65" i="13" s="1"/>
  <c r="C66" i="13"/>
  <c r="C65" i="13" s="1"/>
  <c r="E60" i="13"/>
  <c r="D60" i="13"/>
  <c r="C60" i="13"/>
  <c r="C61" i="13"/>
  <c r="C57" i="13" s="1"/>
  <c r="E58" i="13"/>
  <c r="D58" i="13"/>
  <c r="C58" i="13"/>
  <c r="E55" i="13"/>
  <c r="D55" i="13"/>
  <c r="D50" i="13" s="1"/>
  <c r="C55" i="13"/>
  <c r="C50" i="13" s="1"/>
  <c r="E54" i="13"/>
  <c r="D54" i="13"/>
  <c r="C54" i="13"/>
  <c r="C48" i="13"/>
  <c r="C42" i="13" s="1"/>
  <c r="E46" i="13"/>
  <c r="D46" i="13"/>
  <c r="D59" i="13" s="1"/>
  <c r="C46" i="13"/>
  <c r="C59" i="13" s="1"/>
  <c r="E45" i="13"/>
  <c r="D45" i="13"/>
  <c r="C45" i="13"/>
  <c r="E38" i="13"/>
  <c r="D38" i="13"/>
  <c r="C38" i="13"/>
  <c r="E33" i="13"/>
  <c r="E34" i="13" s="1"/>
  <c r="D33" i="13"/>
  <c r="D34" i="13" s="1"/>
  <c r="E26" i="13"/>
  <c r="D26" i="13"/>
  <c r="C26" i="13"/>
  <c r="E13" i="13"/>
  <c r="D13" i="13"/>
  <c r="D25" i="13" s="1"/>
  <c r="C13" i="13"/>
  <c r="C25" i="13" s="1"/>
  <c r="C27" i="13" s="1"/>
  <c r="D47" i="12"/>
  <c r="E47" i="12" s="1"/>
  <c r="C47" i="12"/>
  <c r="F47" i="12" s="1"/>
  <c r="F46" i="12"/>
  <c r="E46" i="12"/>
  <c r="F45" i="12"/>
  <c r="E45" i="12"/>
  <c r="D40" i="12"/>
  <c r="E40" i="12"/>
  <c r="F40" i="12" s="1"/>
  <c r="C40" i="12"/>
  <c r="E39" i="12"/>
  <c r="F39" i="12" s="1"/>
  <c r="F38" i="12"/>
  <c r="E38" i="12"/>
  <c r="E37" i="12"/>
  <c r="F37" i="12" s="1"/>
  <c r="D32" i="12"/>
  <c r="E32" i="12" s="1"/>
  <c r="C32" i="12"/>
  <c r="F31" i="12"/>
  <c r="E31" i="12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6" i="12"/>
  <c r="F16" i="12" s="1"/>
  <c r="D15" i="12"/>
  <c r="D17" i="12" s="1"/>
  <c r="C15" i="12"/>
  <c r="C17" i="12" s="1"/>
  <c r="F14" i="12"/>
  <c r="E14" i="12"/>
  <c r="E13" i="12"/>
  <c r="F13" i="12" s="1"/>
  <c r="E12" i="12"/>
  <c r="F12" i="12" s="1"/>
  <c r="E11" i="12"/>
  <c r="F11" i="12" s="1"/>
  <c r="D73" i="11"/>
  <c r="E73" i="11" s="1"/>
  <c r="F73" i="11" s="1"/>
  <c r="C73" i="11"/>
  <c r="E72" i="11"/>
  <c r="F72" i="11" s="1"/>
  <c r="F71" i="11"/>
  <c r="E71" i="11"/>
  <c r="E70" i="11"/>
  <c r="F70" i="11" s="1"/>
  <c r="F67" i="11"/>
  <c r="E67" i="11"/>
  <c r="E64" i="11"/>
  <c r="F64" i="11" s="1"/>
  <c r="E63" i="11"/>
  <c r="F63" i="11" s="1"/>
  <c r="D61" i="11"/>
  <c r="D65" i="11" s="1"/>
  <c r="C61" i="11"/>
  <c r="C65" i="11"/>
  <c r="F60" i="11"/>
  <c r="E60" i="11"/>
  <c r="E59" i="11"/>
  <c r="F59" i="11" s="1"/>
  <c r="D56" i="11"/>
  <c r="D75" i="11" s="1"/>
  <c r="C56" i="11"/>
  <c r="E55" i="11"/>
  <c r="F55" i="11" s="1"/>
  <c r="F54" i="11"/>
  <c r="E54" i="11"/>
  <c r="E53" i="11"/>
  <c r="F53" i="11" s="1"/>
  <c r="E52" i="11"/>
  <c r="F52" i="11" s="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F40" i="11"/>
  <c r="E40" i="11"/>
  <c r="D38" i="11"/>
  <c r="D41" i="11"/>
  <c r="C38" i="11"/>
  <c r="C41" i="11" s="1"/>
  <c r="E37" i="11"/>
  <c r="F37" i="11" s="1"/>
  <c r="E36" i="11"/>
  <c r="F36" i="11" s="1"/>
  <c r="F33" i="11"/>
  <c r="E33" i="11"/>
  <c r="E32" i="11"/>
  <c r="F32" i="11" s="1"/>
  <c r="F31" i="11"/>
  <c r="E31" i="11"/>
  <c r="D29" i="11"/>
  <c r="C29" i="11"/>
  <c r="E29" i="11" s="1"/>
  <c r="E28" i="11"/>
  <c r="F28" i="11" s="1"/>
  <c r="F27" i="11"/>
  <c r="E27" i="11"/>
  <c r="F26" i="11"/>
  <c r="E26" i="11"/>
  <c r="F25" i="11"/>
  <c r="E25" i="11"/>
  <c r="D22" i="11"/>
  <c r="C22" i="11"/>
  <c r="E21" i="11"/>
  <c r="F21" i="11" s="1"/>
  <c r="E20" i="11"/>
  <c r="F20" i="11" s="1"/>
  <c r="F19" i="11"/>
  <c r="E19" i="11"/>
  <c r="F18" i="11"/>
  <c r="E18" i="11"/>
  <c r="F17" i="11"/>
  <c r="E17" i="11"/>
  <c r="F16" i="11"/>
  <c r="E16" i="11"/>
  <c r="F15" i="11"/>
  <c r="E15" i="11"/>
  <c r="F14" i="11"/>
  <c r="E14" i="11"/>
  <c r="E13" i="11"/>
  <c r="F13" i="11" s="1"/>
  <c r="D120" i="10"/>
  <c r="C120" i="10"/>
  <c r="F120" i="10" s="1"/>
  <c r="D119" i="10"/>
  <c r="E119" i="10" s="1"/>
  <c r="C119" i="10"/>
  <c r="F119" i="10" s="1"/>
  <c r="D118" i="10"/>
  <c r="C118" i="10"/>
  <c r="F118" i="10" s="1"/>
  <c r="D117" i="10"/>
  <c r="E117" i="10" s="1"/>
  <c r="C117" i="10"/>
  <c r="F117" i="10" s="1"/>
  <c r="D116" i="10"/>
  <c r="C116" i="10"/>
  <c r="F116" i="10" s="1"/>
  <c r="D115" i="10"/>
  <c r="C115" i="10"/>
  <c r="F115" i="10" s="1"/>
  <c r="D114" i="10"/>
  <c r="C114" i="10"/>
  <c r="F114" i="10" s="1"/>
  <c r="D113" i="10"/>
  <c r="C113" i="10"/>
  <c r="F113" i="10" s="1"/>
  <c r="D112" i="10"/>
  <c r="C112" i="10"/>
  <c r="F112" i="10" s="1"/>
  <c r="D108" i="10"/>
  <c r="C108" i="10"/>
  <c r="F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/>
  <c r="C96" i="10"/>
  <c r="F96" i="10" s="1"/>
  <c r="D95" i="10"/>
  <c r="E95" i="10" s="1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 s="1"/>
  <c r="C84" i="10"/>
  <c r="D83" i="10"/>
  <c r="C83" i="10"/>
  <c r="E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 s="1"/>
  <c r="C72" i="10"/>
  <c r="F71" i="10"/>
  <c r="D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D47" i="10"/>
  <c r="E47" i="10" s="1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 s="1"/>
  <c r="C24" i="10"/>
  <c r="F24" i="10" s="1"/>
  <c r="D23" i="10"/>
  <c r="E23" i="10" s="1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E204" i="9" s="1"/>
  <c r="C204" i="9"/>
  <c r="D203" i="9"/>
  <c r="C203" i="9"/>
  <c r="D202" i="9"/>
  <c r="C202" i="9"/>
  <c r="D201" i="9"/>
  <c r="C201" i="9"/>
  <c r="D200" i="9"/>
  <c r="E200" i="9" s="1"/>
  <c r="C200" i="9"/>
  <c r="D199" i="9"/>
  <c r="E199" i="9" s="1"/>
  <c r="C199" i="9"/>
  <c r="D198" i="9"/>
  <c r="E198" i="9" s="1"/>
  <c r="C198" i="9"/>
  <c r="C207" i="9" s="1"/>
  <c r="D193" i="9"/>
  <c r="E193" i="9"/>
  <c r="F193" i="9" s="1"/>
  <c r="C193" i="9"/>
  <c r="D192" i="9"/>
  <c r="E192" i="9"/>
  <c r="F192" i="9" s="1"/>
  <c r="C192" i="9"/>
  <c r="E191" i="9"/>
  <c r="F191" i="9" s="1"/>
  <c r="F190" i="9"/>
  <c r="E190" i="9"/>
  <c r="E189" i="9"/>
  <c r="F189" i="9" s="1"/>
  <c r="F188" i="9"/>
  <c r="E188" i="9"/>
  <c r="F187" i="9"/>
  <c r="E187" i="9"/>
  <c r="F186" i="9"/>
  <c r="E186" i="9"/>
  <c r="E185" i="9"/>
  <c r="F185" i="9" s="1"/>
  <c r="F184" i="9"/>
  <c r="E184" i="9"/>
  <c r="E183" i="9"/>
  <c r="F183" i="9" s="1"/>
  <c r="F180" i="9"/>
  <c r="D180" i="9"/>
  <c r="C180" i="9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D166" i="9"/>
  <c r="E166" i="9" s="1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C154" i="9"/>
  <c r="F154" i="9" s="1"/>
  <c r="D153" i="9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 s="1"/>
  <c r="C141" i="9"/>
  <c r="D140" i="9"/>
  <c r="E140" i="9"/>
  <c r="F140" i="9" s="1"/>
  <c r="C140" i="9"/>
  <c r="E139" i="9"/>
  <c r="F139" i="9" s="1"/>
  <c r="F138" i="9"/>
  <c r="E138" i="9"/>
  <c r="E137" i="9"/>
  <c r="F137" i="9" s="1"/>
  <c r="F136" i="9"/>
  <c r="E136" i="9"/>
  <c r="F135" i="9"/>
  <c r="E135" i="9"/>
  <c r="E134" i="9"/>
  <c r="F134" i="9" s="1"/>
  <c r="E133" i="9"/>
  <c r="F133" i="9" s="1"/>
  <c r="F132" i="9"/>
  <c r="E132" i="9"/>
  <c r="E131" i="9"/>
  <c r="F131" i="9" s="1"/>
  <c r="D128" i="9"/>
  <c r="C128" i="9"/>
  <c r="D127" i="9"/>
  <c r="C127" i="9"/>
  <c r="F126" i="9"/>
  <c r="E126" i="9"/>
  <c r="E125" i="9"/>
  <c r="F125" i="9" s="1"/>
  <c r="F124" i="9"/>
  <c r="E124" i="9"/>
  <c r="E123" i="9"/>
  <c r="F123" i="9" s="1"/>
  <c r="F122" i="9"/>
  <c r="E122" i="9"/>
  <c r="E121" i="9"/>
  <c r="F121" i="9" s="1"/>
  <c r="F120" i="9"/>
  <c r="E120" i="9"/>
  <c r="F119" i="9"/>
  <c r="E119" i="9"/>
  <c r="E118" i="9"/>
  <c r="F118" i="9" s="1"/>
  <c r="D115" i="9"/>
  <c r="E115" i="9"/>
  <c r="F115" i="9" s="1"/>
  <c r="C115" i="9"/>
  <c r="D114" i="9"/>
  <c r="E114" i="9" s="1"/>
  <c r="F114" i="9" s="1"/>
  <c r="C114" i="9"/>
  <c r="E113" i="9"/>
  <c r="F113" i="9" s="1"/>
  <c r="F112" i="9"/>
  <c r="E112" i="9"/>
  <c r="E111" i="9"/>
  <c r="F111" i="9" s="1"/>
  <c r="F110" i="9"/>
  <c r="E110" i="9"/>
  <c r="E109" i="9"/>
  <c r="F109" i="9" s="1"/>
  <c r="E108" i="9"/>
  <c r="F108" i="9" s="1"/>
  <c r="F107" i="9"/>
  <c r="E107" i="9"/>
  <c r="F106" i="9"/>
  <c r="E106" i="9"/>
  <c r="E105" i="9"/>
  <c r="F105" i="9" s="1"/>
  <c r="D102" i="9"/>
  <c r="E102" i="9" s="1"/>
  <c r="C102" i="9"/>
  <c r="D101" i="9"/>
  <c r="E101" i="9" s="1"/>
  <c r="C101" i="9"/>
  <c r="F100" i="9"/>
  <c r="E100" i="9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F89" i="9"/>
  <c r="D89" i="9"/>
  <c r="E89" i="9" s="1"/>
  <c r="C89" i="9"/>
  <c r="D88" i="9"/>
  <c r="E88" i="9" s="1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F74" i="9"/>
  <c r="E74" i="9"/>
  <c r="E73" i="9"/>
  <c r="F73" i="9" s="1"/>
  <c r="E72" i="9"/>
  <c r="F72" i="9" s="1"/>
  <c r="E71" i="9"/>
  <c r="F71" i="9" s="1"/>
  <c r="E70" i="9"/>
  <c r="F70" i="9" s="1"/>
  <c r="E69" i="9"/>
  <c r="F69" i="9" s="1"/>
  <c r="F68" i="9"/>
  <c r="E68" i="9"/>
  <c r="F67" i="9"/>
  <c r="E67" i="9"/>
  <c r="F66" i="9"/>
  <c r="E66" i="9"/>
  <c r="D63" i="9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C50" i="9"/>
  <c r="D49" i="9"/>
  <c r="E49" i="9" s="1"/>
  <c r="C49" i="9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D37" i="9"/>
  <c r="C37" i="9"/>
  <c r="D36" i="9"/>
  <c r="C36" i="9"/>
  <c r="E35" i="9"/>
  <c r="F35" i="9" s="1"/>
  <c r="F34" i="9"/>
  <c r="E34" i="9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D24" i="9"/>
  <c r="E24" i="9"/>
  <c r="C24" i="9"/>
  <c r="D23" i="9"/>
  <c r="E23" i="9" s="1"/>
  <c r="C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/>
  <c r="E166" i="8" s="1"/>
  <c r="D164" i="8"/>
  <c r="C164" i="8"/>
  <c r="C160" i="8"/>
  <c r="E162" i="8"/>
  <c r="D162" i="8"/>
  <c r="C162" i="8"/>
  <c r="E161" i="8"/>
  <c r="D161" i="8"/>
  <c r="C161" i="8"/>
  <c r="D160" i="8"/>
  <c r="E147" i="8"/>
  <c r="E143" i="8" s="1"/>
  <c r="E149" i="8" s="1"/>
  <c r="D147" i="8"/>
  <c r="C147" i="8"/>
  <c r="C143" i="8" s="1"/>
  <c r="E145" i="8"/>
  <c r="D145" i="8"/>
  <c r="C145" i="8"/>
  <c r="E144" i="8"/>
  <c r="D144" i="8"/>
  <c r="C144" i="8"/>
  <c r="D143" i="8"/>
  <c r="D149" i="8"/>
  <c r="E126" i="8"/>
  <c r="D126" i="8"/>
  <c r="C126" i="8"/>
  <c r="E119" i="8"/>
  <c r="D119" i="8"/>
  <c r="C119" i="8"/>
  <c r="E108" i="8"/>
  <c r="D108" i="8"/>
  <c r="C108" i="8"/>
  <c r="E107" i="8"/>
  <c r="D107" i="8"/>
  <c r="C107" i="8"/>
  <c r="E102" i="8"/>
  <c r="E104" i="8" s="1"/>
  <c r="D102" i="8"/>
  <c r="D104" i="8" s="1"/>
  <c r="C102" i="8"/>
  <c r="C104" i="8"/>
  <c r="E100" i="8"/>
  <c r="D100" i="8"/>
  <c r="C100" i="8"/>
  <c r="E95" i="8"/>
  <c r="E94" i="8" s="1"/>
  <c r="D95" i="8"/>
  <c r="D94" i="8"/>
  <c r="C95" i="8"/>
  <c r="C94" i="8"/>
  <c r="E89" i="8"/>
  <c r="D89" i="8"/>
  <c r="C89" i="8"/>
  <c r="E87" i="8"/>
  <c r="D87" i="8"/>
  <c r="C87" i="8"/>
  <c r="E84" i="8"/>
  <c r="E79" i="8" s="1"/>
  <c r="D84" i="8"/>
  <c r="C84" i="8"/>
  <c r="E83" i="8"/>
  <c r="D83" i="8"/>
  <c r="C83" i="8"/>
  <c r="C79" i="8" s="1"/>
  <c r="D77" i="8"/>
  <c r="D71" i="8" s="1"/>
  <c r="E75" i="8"/>
  <c r="E88" i="8" s="1"/>
  <c r="E90" i="8" s="1"/>
  <c r="E86" i="8" s="1"/>
  <c r="D75" i="8"/>
  <c r="D88" i="8" s="1"/>
  <c r="D90" i="8" s="1"/>
  <c r="D86" i="8" s="1"/>
  <c r="C75" i="8"/>
  <c r="C88" i="8" s="1"/>
  <c r="E74" i="8"/>
  <c r="D74" i="8"/>
  <c r="C74" i="8"/>
  <c r="E67" i="8"/>
  <c r="D67" i="8"/>
  <c r="C67" i="8"/>
  <c r="E38" i="8"/>
  <c r="E43" i="8" s="1"/>
  <c r="E57" i="8"/>
  <c r="E62" i="8" s="1"/>
  <c r="D38" i="8"/>
  <c r="D53" i="8" s="1"/>
  <c r="C38" i="8"/>
  <c r="C53" i="8" s="1"/>
  <c r="E33" i="8"/>
  <c r="E34" i="8" s="1"/>
  <c r="D33" i="8"/>
  <c r="D34" i="8" s="1"/>
  <c r="E26" i="8"/>
  <c r="D26" i="8"/>
  <c r="C26" i="8"/>
  <c r="D15" i="8"/>
  <c r="D24" i="8" s="1"/>
  <c r="E13" i="8"/>
  <c r="E25" i="8" s="1"/>
  <c r="E27" i="8" s="1"/>
  <c r="D13" i="8"/>
  <c r="D25" i="8" s="1"/>
  <c r="C13" i="8"/>
  <c r="C25" i="8" s="1"/>
  <c r="E186" i="7"/>
  <c r="F186" i="7" s="1"/>
  <c r="D183" i="7"/>
  <c r="E183" i="7" s="1"/>
  <c r="F183" i="7" s="1"/>
  <c r="C183" i="7"/>
  <c r="F182" i="7"/>
  <c r="E182" i="7"/>
  <c r="E181" i="7"/>
  <c r="F181" i="7" s="1"/>
  <c r="F180" i="7"/>
  <c r="E180" i="7"/>
  <c r="F179" i="7"/>
  <c r="E179" i="7"/>
  <c r="E178" i="7"/>
  <c r="F178" i="7" s="1"/>
  <c r="F177" i="7"/>
  <c r="E177" i="7"/>
  <c r="E176" i="7"/>
  <c r="F176" i="7" s="1"/>
  <c r="F175" i="7"/>
  <c r="E175" i="7"/>
  <c r="F174" i="7"/>
  <c r="E174" i="7"/>
  <c r="E173" i="7"/>
  <c r="F173" i="7" s="1"/>
  <c r="F172" i="7"/>
  <c r="E172" i="7"/>
  <c r="F171" i="7"/>
  <c r="E171" i="7"/>
  <c r="E170" i="7"/>
  <c r="F170" i="7" s="1"/>
  <c r="D167" i="7"/>
  <c r="C167" i="7"/>
  <c r="E166" i="7"/>
  <c r="F166" i="7" s="1"/>
  <c r="F165" i="7"/>
  <c r="E165" i="7"/>
  <c r="E164" i="7"/>
  <c r="F164" i="7" s="1"/>
  <c r="E163" i="7"/>
  <c r="F163" i="7" s="1"/>
  <c r="F162" i="7"/>
  <c r="E162" i="7"/>
  <c r="F161" i="7"/>
  <c r="E161" i="7"/>
  <c r="E160" i="7"/>
  <c r="F160" i="7" s="1"/>
  <c r="F159" i="7"/>
  <c r="E159" i="7"/>
  <c r="F158" i="7"/>
  <c r="E158" i="7"/>
  <c r="F157" i="7"/>
  <c r="E157" i="7"/>
  <c r="E156" i="7"/>
  <c r="F156" i="7" s="1"/>
  <c r="E155" i="7"/>
  <c r="F155" i="7" s="1"/>
  <c r="F154" i="7"/>
  <c r="E154" i="7"/>
  <c r="F153" i="7"/>
  <c r="E153" i="7"/>
  <c r="E152" i="7"/>
  <c r="F152" i="7" s="1"/>
  <c r="E151" i="7"/>
  <c r="F151" i="7" s="1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E143" i="7"/>
  <c r="F143" i="7" s="1"/>
  <c r="F142" i="7"/>
  <c r="E142" i="7"/>
  <c r="F141" i="7"/>
  <c r="E141" i="7"/>
  <c r="E140" i="7"/>
  <c r="F140" i="7" s="1"/>
  <c r="E139" i="7"/>
  <c r="F139" i="7" s="1"/>
  <c r="F138" i="7"/>
  <c r="E138" i="7"/>
  <c r="F137" i="7"/>
  <c r="E137" i="7"/>
  <c r="F136" i="7"/>
  <c r="E136" i="7"/>
  <c r="E135" i="7"/>
  <c r="F135" i="7" s="1"/>
  <c r="F134" i="7"/>
  <c r="E134" i="7"/>
  <c r="F133" i="7"/>
  <c r="E133" i="7"/>
  <c r="D130" i="7"/>
  <c r="C130" i="7"/>
  <c r="F129" i="7"/>
  <c r="E129" i="7"/>
  <c r="F128" i="7"/>
  <c r="E128" i="7"/>
  <c r="F127" i="7"/>
  <c r="E127" i="7"/>
  <c r="E126" i="7"/>
  <c r="F126" i="7" s="1"/>
  <c r="E125" i="7"/>
  <c r="F125" i="7" s="1"/>
  <c r="F124" i="7"/>
  <c r="E124" i="7"/>
  <c r="D121" i="7"/>
  <c r="E121" i="7" s="1"/>
  <c r="F121" i="7" s="1"/>
  <c r="C121" i="7"/>
  <c r="F120" i="7"/>
  <c r="E120" i="7"/>
  <c r="E119" i="7"/>
  <c r="F119" i="7" s="1"/>
  <c r="F118" i="7"/>
  <c r="E118" i="7"/>
  <c r="F117" i="7"/>
  <c r="E117" i="7"/>
  <c r="E116" i="7"/>
  <c r="F116" i="7" s="1"/>
  <c r="E115" i="7"/>
  <c r="F115" i="7" s="1"/>
  <c r="F114" i="7"/>
  <c r="E114" i="7"/>
  <c r="F113" i="7"/>
  <c r="E113" i="7"/>
  <c r="E112" i="7"/>
  <c r="F112" i="7" s="1"/>
  <c r="E111" i="7"/>
  <c r="F111" i="7" s="1"/>
  <c r="F110" i="7"/>
  <c r="E110" i="7"/>
  <c r="F109" i="7"/>
  <c r="E109" i="7"/>
  <c r="E108" i="7"/>
  <c r="F108" i="7" s="1"/>
  <c r="E107" i="7"/>
  <c r="F107" i="7" s="1"/>
  <c r="F106" i="7"/>
  <c r="E106" i="7"/>
  <c r="F105" i="7"/>
  <c r="E105" i="7"/>
  <c r="E104" i="7"/>
  <c r="F104" i="7" s="1"/>
  <c r="E103" i="7"/>
  <c r="F103" i="7" s="1"/>
  <c r="F93" i="7"/>
  <c r="E93" i="7"/>
  <c r="D90" i="7"/>
  <c r="D95" i="7" s="1"/>
  <c r="C90" i="7"/>
  <c r="E89" i="7"/>
  <c r="F89" i="7" s="1"/>
  <c r="E88" i="7"/>
  <c r="F88" i="7" s="1"/>
  <c r="E87" i="7"/>
  <c r="F87" i="7" s="1"/>
  <c r="F86" i="7"/>
  <c r="E86" i="7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E59" i="7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E40" i="7"/>
  <c r="F40" i="7" s="1"/>
  <c r="E39" i="7"/>
  <c r="F39" i="7" s="1"/>
  <c r="E38" i="7"/>
  <c r="F38" i="7" s="1"/>
  <c r="D35" i="7"/>
  <c r="E35" i="7" s="1"/>
  <c r="C35" i="7"/>
  <c r="E34" i="7"/>
  <c r="F34" i="7" s="1"/>
  <c r="E33" i="7"/>
  <c r="F33" i="7" s="1"/>
  <c r="D30" i="7"/>
  <c r="C30" i="7"/>
  <c r="E29" i="7"/>
  <c r="F29" i="7" s="1"/>
  <c r="E28" i="7"/>
  <c r="F28" i="7" s="1"/>
  <c r="E27" i="7"/>
  <c r="F27" i="7" s="1"/>
  <c r="D24" i="7"/>
  <c r="C24" i="7"/>
  <c r="E23" i="7"/>
  <c r="F23" i="7" s="1"/>
  <c r="E22" i="7"/>
  <c r="F22" i="7" s="1"/>
  <c r="E21" i="7"/>
  <c r="F21" i="7" s="1"/>
  <c r="D18" i="7"/>
  <c r="E18" i="7" s="1"/>
  <c r="C18" i="7"/>
  <c r="E17" i="7"/>
  <c r="F17" i="7" s="1"/>
  <c r="E16" i="7"/>
  <c r="F16" i="7" s="1"/>
  <c r="E15" i="7"/>
  <c r="F15" i="7" s="1"/>
  <c r="D179" i="6"/>
  <c r="C179" i="6"/>
  <c r="E178" i="6"/>
  <c r="F178" i="6" s="1"/>
  <c r="F177" i="6"/>
  <c r="E177" i="6"/>
  <c r="E176" i="6"/>
  <c r="F176" i="6" s="1"/>
  <c r="E175" i="6"/>
  <c r="F175" i="6" s="1"/>
  <c r="E174" i="6"/>
  <c r="F174" i="6" s="1"/>
  <c r="E173" i="6"/>
  <c r="F173" i="6" s="1"/>
  <c r="E172" i="6"/>
  <c r="F172" i="6" s="1"/>
  <c r="F171" i="6"/>
  <c r="E171" i="6"/>
  <c r="E170" i="6"/>
  <c r="F170" i="6" s="1"/>
  <c r="E169" i="6"/>
  <c r="F169" i="6" s="1"/>
  <c r="F168" i="6"/>
  <c r="E168" i="6"/>
  <c r="D166" i="6"/>
  <c r="C166" i="6"/>
  <c r="E165" i="6"/>
  <c r="F165" i="6" s="1"/>
  <c r="F164" i="6"/>
  <c r="E164" i="6"/>
  <c r="F163" i="6"/>
  <c r="E163" i="6"/>
  <c r="E162" i="6"/>
  <c r="F162" i="6" s="1"/>
  <c r="E161" i="6"/>
  <c r="F161" i="6" s="1"/>
  <c r="F160" i="6"/>
  <c r="E160" i="6"/>
  <c r="E159" i="6"/>
  <c r="F159" i="6" s="1"/>
  <c r="F158" i="6"/>
  <c r="E158" i="6"/>
  <c r="E157" i="6"/>
  <c r="F157" i="6" s="1"/>
  <c r="E156" i="6"/>
  <c r="F156" i="6" s="1"/>
  <c r="F155" i="6"/>
  <c r="E155" i="6"/>
  <c r="D153" i="6"/>
  <c r="E153" i="6"/>
  <c r="C153" i="6"/>
  <c r="E152" i="6"/>
  <c r="F152" i="6" s="1"/>
  <c r="F151" i="6"/>
  <c r="E151" i="6"/>
  <c r="E150" i="6"/>
  <c r="F150" i="6" s="1"/>
  <c r="E149" i="6"/>
  <c r="F149" i="6" s="1"/>
  <c r="E148" i="6"/>
  <c r="F148" i="6" s="1"/>
  <c r="E147" i="6"/>
  <c r="F147" i="6" s="1"/>
  <c r="E146" i="6"/>
  <c r="F146" i="6" s="1"/>
  <c r="F145" i="6"/>
  <c r="E145" i="6"/>
  <c r="E144" i="6"/>
  <c r="F144" i="6" s="1"/>
  <c r="E143" i="6"/>
  <c r="F143" i="6" s="1"/>
  <c r="E142" i="6"/>
  <c r="F142" i="6" s="1"/>
  <c r="D137" i="6"/>
  <c r="E137" i="6" s="1"/>
  <c r="F137" i="6" s="1"/>
  <c r="C137" i="6"/>
  <c r="E136" i="6"/>
  <c r="F136" i="6" s="1"/>
  <c r="F135" i="6"/>
  <c r="E135" i="6"/>
  <c r="E134" i="6"/>
  <c r="F134" i="6" s="1"/>
  <c r="F133" i="6"/>
  <c r="E133" i="6"/>
  <c r="E132" i="6"/>
  <c r="F132" i="6" s="1"/>
  <c r="E131" i="6"/>
  <c r="F131" i="6" s="1"/>
  <c r="E130" i="6"/>
  <c r="F130" i="6" s="1"/>
  <c r="F129" i="6"/>
  <c r="E129" i="6"/>
  <c r="E128" i="6"/>
  <c r="F128" i="6" s="1"/>
  <c r="E127" i="6"/>
  <c r="F127" i="6" s="1"/>
  <c r="E126" i="6"/>
  <c r="F126" i="6" s="1"/>
  <c r="D124" i="6"/>
  <c r="C124" i="6"/>
  <c r="E124" i="6" s="1"/>
  <c r="E123" i="6"/>
  <c r="F123" i="6" s="1"/>
  <c r="F122" i="6"/>
  <c r="E122" i="6"/>
  <c r="F121" i="6"/>
  <c r="E121" i="6"/>
  <c r="E120" i="6"/>
  <c r="F120" i="6" s="1"/>
  <c r="E119" i="6"/>
  <c r="F119" i="6" s="1"/>
  <c r="E118" i="6"/>
  <c r="F118" i="6" s="1"/>
  <c r="F117" i="6"/>
  <c r="E117" i="6"/>
  <c r="F116" i="6"/>
  <c r="E116" i="6"/>
  <c r="E115" i="6"/>
  <c r="F115" i="6" s="1"/>
  <c r="E114" i="6"/>
  <c r="F114" i="6" s="1"/>
  <c r="E113" i="6"/>
  <c r="F113" i="6" s="1"/>
  <c r="D111" i="6"/>
  <c r="E111" i="6" s="1"/>
  <c r="F111" i="6" s="1"/>
  <c r="C111" i="6"/>
  <c r="E110" i="6"/>
  <c r="F110" i="6" s="1"/>
  <c r="F109" i="6"/>
  <c r="E109" i="6"/>
  <c r="F108" i="6"/>
  <c r="E108" i="6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F100" i="6"/>
  <c r="E100" i="6"/>
  <c r="D94" i="6"/>
  <c r="E94" i="6"/>
  <c r="C94" i="6"/>
  <c r="D93" i="6"/>
  <c r="C93" i="6"/>
  <c r="F93" i="6" s="1"/>
  <c r="D92" i="6"/>
  <c r="E92" i="6" s="1"/>
  <c r="C92" i="6"/>
  <c r="D91" i="6"/>
  <c r="E91" i="6" s="1"/>
  <c r="F91" i="6" s="1"/>
  <c r="C91" i="6"/>
  <c r="D90" i="6"/>
  <c r="C90" i="6"/>
  <c r="D89" i="6"/>
  <c r="E89" i="6" s="1"/>
  <c r="F89" i="6" s="1"/>
  <c r="C89" i="6"/>
  <c r="D88" i="6"/>
  <c r="C88" i="6"/>
  <c r="D87" i="6"/>
  <c r="C87" i="6"/>
  <c r="F87" i="6" s="1"/>
  <c r="D86" i="6"/>
  <c r="E86" i="6"/>
  <c r="C86" i="6"/>
  <c r="D85" i="6"/>
  <c r="E85" i="6"/>
  <c r="F85" i="6" s="1"/>
  <c r="C85" i="6"/>
  <c r="D84" i="6"/>
  <c r="E84" i="6" s="1"/>
  <c r="F84" i="6" s="1"/>
  <c r="C84" i="6"/>
  <c r="D81" i="6"/>
  <c r="E81" i="6" s="1"/>
  <c r="F81" i="6" s="1"/>
  <c r="C81" i="6"/>
  <c r="E80" i="6"/>
  <c r="F80" i="6" s="1"/>
  <c r="F79" i="6"/>
  <c r="E79" i="6"/>
  <c r="E78" i="6"/>
  <c r="F78" i="6" s="1"/>
  <c r="F77" i="6"/>
  <c r="E77" i="6"/>
  <c r="E76" i="6"/>
  <c r="F76" i="6" s="1"/>
  <c r="E75" i="6"/>
  <c r="F75" i="6" s="1"/>
  <c r="F74" i="6"/>
  <c r="E74" i="6"/>
  <c r="F73" i="6"/>
  <c r="E73" i="6"/>
  <c r="F72" i="6"/>
  <c r="E72" i="6"/>
  <c r="E71" i="6"/>
  <c r="F71" i="6" s="1"/>
  <c r="E70" i="6"/>
  <c r="F70" i="6" s="1"/>
  <c r="D68" i="6"/>
  <c r="C68" i="6"/>
  <c r="E67" i="6"/>
  <c r="F67" i="6" s="1"/>
  <c r="F66" i="6"/>
  <c r="E66" i="6"/>
  <c r="F65" i="6"/>
  <c r="E65" i="6"/>
  <c r="F64" i="6"/>
  <c r="E64" i="6"/>
  <c r="E63" i="6"/>
  <c r="F63" i="6" s="1"/>
  <c r="F62" i="6"/>
  <c r="E62" i="6"/>
  <c r="E61" i="6"/>
  <c r="F61" i="6" s="1"/>
  <c r="F60" i="6"/>
  <c r="E60" i="6"/>
  <c r="E59" i="6"/>
  <c r="F59" i="6" s="1"/>
  <c r="E58" i="6"/>
  <c r="F58" i="6" s="1"/>
  <c r="F57" i="6"/>
  <c r="E57" i="6"/>
  <c r="D51" i="6"/>
  <c r="E51" i="6" s="1"/>
  <c r="C51" i="6"/>
  <c r="F51" i="6" s="1"/>
  <c r="F50" i="6"/>
  <c r="D50" i="6"/>
  <c r="E50" i="6" s="1"/>
  <c r="C50" i="6"/>
  <c r="D49" i="6"/>
  <c r="E49" i="6" s="1"/>
  <c r="C49" i="6"/>
  <c r="D48" i="6"/>
  <c r="C48" i="6"/>
  <c r="D47" i="6"/>
  <c r="C47" i="6"/>
  <c r="D46" i="6"/>
  <c r="E46" i="6" s="1"/>
  <c r="F46" i="6" s="1"/>
  <c r="C46" i="6"/>
  <c r="D45" i="6"/>
  <c r="E45" i="6" s="1"/>
  <c r="C45" i="6"/>
  <c r="D44" i="6"/>
  <c r="C44" i="6"/>
  <c r="F44" i="6" s="1"/>
  <c r="D43" i="6"/>
  <c r="E43" i="6" s="1"/>
  <c r="C43" i="6"/>
  <c r="D42" i="6"/>
  <c r="C42" i="6"/>
  <c r="C52" i="6" s="1"/>
  <c r="D41" i="6"/>
  <c r="C41" i="6"/>
  <c r="D38" i="6"/>
  <c r="C38" i="6"/>
  <c r="E37" i="6"/>
  <c r="F37" i="6" s="1"/>
  <c r="F36" i="6"/>
  <c r="E36" i="6"/>
  <c r="F35" i="6"/>
  <c r="E35" i="6"/>
  <c r="E34" i="6"/>
  <c r="F34" i="6" s="1"/>
  <c r="E33" i="6"/>
  <c r="F33" i="6" s="1"/>
  <c r="E32" i="6"/>
  <c r="F32" i="6" s="1"/>
  <c r="F31" i="6"/>
  <c r="E31" i="6"/>
  <c r="F30" i="6"/>
  <c r="E30" i="6"/>
  <c r="E29" i="6"/>
  <c r="F29" i="6" s="1"/>
  <c r="E28" i="6"/>
  <c r="F28" i="6" s="1"/>
  <c r="E27" i="6"/>
  <c r="F27" i="6" s="1"/>
  <c r="D25" i="6"/>
  <c r="E25" i="6" s="1"/>
  <c r="C25" i="6"/>
  <c r="E24" i="6"/>
  <c r="F24" i="6" s="1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F15" i="6"/>
  <c r="E15" i="6"/>
  <c r="E14" i="6"/>
  <c r="F14" i="6" s="1"/>
  <c r="E51" i="5"/>
  <c r="F51" i="5" s="1"/>
  <c r="F48" i="5"/>
  <c r="D48" i="5"/>
  <c r="E48" i="5" s="1"/>
  <c r="C48" i="5"/>
  <c r="F47" i="5"/>
  <c r="E47" i="5"/>
  <c r="F46" i="5"/>
  <c r="E46" i="5"/>
  <c r="D41" i="5"/>
  <c r="E41" i="5" s="1"/>
  <c r="F41" i="5" s="1"/>
  <c r="C41" i="5"/>
  <c r="E40" i="5"/>
  <c r="F40" i="5" s="1"/>
  <c r="F39" i="5"/>
  <c r="E39" i="5"/>
  <c r="E38" i="5"/>
  <c r="F38" i="5" s="1"/>
  <c r="D33" i="5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F26" i="5"/>
  <c r="E26" i="5"/>
  <c r="E25" i="5"/>
  <c r="F25" i="5" s="1"/>
  <c r="E24" i="5"/>
  <c r="F24" i="5" s="1"/>
  <c r="E20" i="5"/>
  <c r="F20" i="5" s="1"/>
  <c r="E19" i="5"/>
  <c r="F19" i="5" s="1"/>
  <c r="E17" i="5"/>
  <c r="F17" i="5" s="1"/>
  <c r="D16" i="5"/>
  <c r="D18" i="5" s="1"/>
  <c r="C16" i="5"/>
  <c r="C18" i="5" s="1"/>
  <c r="C21" i="5" s="1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F64" i="4"/>
  <c r="E64" i="4"/>
  <c r="E63" i="4"/>
  <c r="F63" i="4" s="1"/>
  <c r="D61" i="4"/>
  <c r="D65" i="4" s="1"/>
  <c r="C61" i="4"/>
  <c r="C65" i="4"/>
  <c r="F60" i="4"/>
  <c r="E60" i="4"/>
  <c r="E59" i="4"/>
  <c r="F59" i="4" s="1"/>
  <c r="D56" i="4"/>
  <c r="C56" i="4"/>
  <c r="F55" i="4"/>
  <c r="E55" i="4"/>
  <c r="F54" i="4"/>
  <c r="E54" i="4"/>
  <c r="E53" i="4"/>
  <c r="F53" i="4" s="1"/>
  <c r="F52" i="4"/>
  <c r="E52" i="4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 s="1"/>
  <c r="C38" i="4"/>
  <c r="E37" i="4"/>
  <c r="F37" i="4" s="1"/>
  <c r="E36" i="4"/>
  <c r="F36" i="4" s="1"/>
  <c r="E33" i="4"/>
  <c r="F33" i="4"/>
  <c r="E32" i="4"/>
  <c r="F32" i="4" s="1"/>
  <c r="E31" i="4"/>
  <c r="F31" i="4" s="1"/>
  <c r="D29" i="4"/>
  <c r="C29" i="4"/>
  <c r="E28" i="4"/>
  <c r="F28" i="4"/>
  <c r="F27" i="4"/>
  <c r="E27" i="4"/>
  <c r="F26" i="4"/>
  <c r="E26" i="4"/>
  <c r="F25" i="4"/>
  <c r="E25" i="4"/>
  <c r="D22" i="4"/>
  <c r="C22" i="4"/>
  <c r="E21" i="4"/>
  <c r="F21" i="4" s="1"/>
  <c r="E20" i="4"/>
  <c r="F20" i="4" s="1"/>
  <c r="E19" i="4"/>
  <c r="F19" i="4" s="1"/>
  <c r="F18" i="4"/>
  <c r="E18" i="4"/>
  <c r="E17" i="4"/>
  <c r="F17" i="4"/>
  <c r="F16" i="4"/>
  <c r="E16" i="4"/>
  <c r="E15" i="4"/>
  <c r="F15" i="4" s="1"/>
  <c r="F14" i="4"/>
  <c r="E14" i="4"/>
  <c r="E13" i="4"/>
  <c r="F13" i="4"/>
  <c r="C34" i="22"/>
  <c r="C23" i="22"/>
  <c r="E34" i="22"/>
  <c r="E23" i="22"/>
  <c r="C22" i="22"/>
  <c r="C33" i="22"/>
  <c r="E22" i="22"/>
  <c r="E33" i="22"/>
  <c r="D109" i="22"/>
  <c r="D108" i="22"/>
  <c r="E101" i="22"/>
  <c r="E39" i="20"/>
  <c r="E40" i="20"/>
  <c r="F40" i="20" s="1"/>
  <c r="E19" i="20"/>
  <c r="F19" i="20"/>
  <c r="C20" i="20"/>
  <c r="C127" i="19"/>
  <c r="C129" i="19" s="1"/>
  <c r="C133" i="19" s="1"/>
  <c r="C49" i="19"/>
  <c r="E21" i="18"/>
  <c r="D43" i="18"/>
  <c r="C289" i="18"/>
  <c r="C71" i="18"/>
  <c r="C65" i="18"/>
  <c r="C66" i="18"/>
  <c r="E60" i="18"/>
  <c r="D192" i="17"/>
  <c r="D44" i="18"/>
  <c r="C283" i="18"/>
  <c r="C144" i="18"/>
  <c r="E151" i="18"/>
  <c r="C175" i="18"/>
  <c r="E175" i="18" s="1"/>
  <c r="C189" i="18"/>
  <c r="D260" i="18"/>
  <c r="D211" i="18"/>
  <c r="D217" i="18"/>
  <c r="E220" i="18"/>
  <c r="D245" i="18"/>
  <c r="D253" i="18" s="1"/>
  <c r="E221" i="18"/>
  <c r="D239" i="18"/>
  <c r="E239" i="18"/>
  <c r="C242" i="18"/>
  <c r="D243" i="18"/>
  <c r="D252" i="18" s="1"/>
  <c r="C303" i="18"/>
  <c r="C306" i="18" s="1"/>
  <c r="C310" i="18" s="1"/>
  <c r="E139" i="18"/>
  <c r="E205" i="18"/>
  <c r="C241" i="18"/>
  <c r="E218" i="18"/>
  <c r="C229" i="18"/>
  <c r="E231" i="18"/>
  <c r="E326" i="18"/>
  <c r="D330" i="18"/>
  <c r="E330" i="18" s="1"/>
  <c r="D222" i="18"/>
  <c r="E301" i="18"/>
  <c r="E324" i="18"/>
  <c r="E20" i="17"/>
  <c r="F20" i="17"/>
  <c r="D21" i="17"/>
  <c r="D31" i="17"/>
  <c r="D37" i="17"/>
  <c r="D48" i="17"/>
  <c r="D60" i="17"/>
  <c r="D68" i="17"/>
  <c r="D77" i="17"/>
  <c r="E77" i="17" s="1"/>
  <c r="E85" i="17"/>
  <c r="F85" i="17" s="1"/>
  <c r="E88" i="17"/>
  <c r="F88" i="17" s="1"/>
  <c r="C89" i="17"/>
  <c r="E94" i="17"/>
  <c r="F94" i="17" s="1"/>
  <c r="E100" i="17"/>
  <c r="F100" i="17" s="1"/>
  <c r="C102" i="17"/>
  <c r="E109" i="17"/>
  <c r="F109" i="17" s="1"/>
  <c r="E110" i="17"/>
  <c r="F110" i="17" s="1"/>
  <c r="C111" i="17"/>
  <c r="C193" i="17"/>
  <c r="C282" i="17" s="1"/>
  <c r="C281" i="17" s="1"/>
  <c r="C192" i="17"/>
  <c r="E192" i="17" s="1"/>
  <c r="F192" i="17" s="1"/>
  <c r="E123" i="17"/>
  <c r="F123" i="17" s="1"/>
  <c r="C124" i="17"/>
  <c r="E124" i="17" s="1"/>
  <c r="E129" i="17"/>
  <c r="F129" i="17" s="1"/>
  <c r="C138" i="17"/>
  <c r="D277" i="17"/>
  <c r="E188" i="17"/>
  <c r="F188" i="17" s="1"/>
  <c r="D280" i="17"/>
  <c r="E191" i="17"/>
  <c r="F191" i="17" s="1"/>
  <c r="D193" i="17"/>
  <c r="D283" i="17"/>
  <c r="D267" i="17"/>
  <c r="E203" i="17"/>
  <c r="F203" i="17" s="1"/>
  <c r="D306" i="17"/>
  <c r="E306" i="17" s="1"/>
  <c r="E250" i="17"/>
  <c r="F250" i="17" s="1"/>
  <c r="D261" i="17"/>
  <c r="D264" i="17"/>
  <c r="F295" i="17"/>
  <c r="C21" i="17"/>
  <c r="C37" i="17"/>
  <c r="E130" i="17"/>
  <c r="F130" i="17"/>
  <c r="D137" i="17"/>
  <c r="D146" i="17"/>
  <c r="E146" i="17" s="1"/>
  <c r="D159" i="17"/>
  <c r="E159" i="17" s="1"/>
  <c r="F159" i="17" s="1"/>
  <c r="D172" i="17"/>
  <c r="C279" i="17"/>
  <c r="D278" i="17"/>
  <c r="E189" i="17"/>
  <c r="F189" i="17" s="1"/>
  <c r="D190" i="17"/>
  <c r="D290" i="17"/>
  <c r="E290" i="17"/>
  <c r="F290" i="17" s="1"/>
  <c r="D274" i="17"/>
  <c r="E198" i="17"/>
  <c r="F198" i="17"/>
  <c r="D199" i="17"/>
  <c r="D200" i="17"/>
  <c r="D285" i="17"/>
  <c r="D269" i="17"/>
  <c r="D205" i="17"/>
  <c r="D206" i="17"/>
  <c r="D214" i="17"/>
  <c r="D215" i="17"/>
  <c r="D227" i="17"/>
  <c r="E227" i="17" s="1"/>
  <c r="F227" i="17" s="1"/>
  <c r="D239" i="17"/>
  <c r="E297" i="17"/>
  <c r="F297" i="17" s="1"/>
  <c r="C190" i="17"/>
  <c r="C199" i="17"/>
  <c r="C200" i="17"/>
  <c r="E200" i="17" s="1"/>
  <c r="F200" i="17" s="1"/>
  <c r="C206" i="17"/>
  <c r="C214" i="17"/>
  <c r="C254" i="17"/>
  <c r="C261" i="17"/>
  <c r="C268" i="17" s="1"/>
  <c r="E268" i="17" s="1"/>
  <c r="C262" i="17"/>
  <c r="C264" i="17"/>
  <c r="C267" i="17"/>
  <c r="E267" i="17" s="1"/>
  <c r="C274" i="17"/>
  <c r="E294" i="17"/>
  <c r="F294" i="17" s="1"/>
  <c r="E296" i="17"/>
  <c r="F296" i="17" s="1"/>
  <c r="E298" i="17"/>
  <c r="F298" i="17" s="1"/>
  <c r="E16" i="15"/>
  <c r="F16" i="15" s="1"/>
  <c r="E23" i="15"/>
  <c r="F23" i="15"/>
  <c r="E30" i="15"/>
  <c r="F30" i="15" s="1"/>
  <c r="E37" i="15"/>
  <c r="F37" i="15" s="1"/>
  <c r="E45" i="15"/>
  <c r="F45" i="15" s="1"/>
  <c r="E50" i="15"/>
  <c r="F50" i="15" s="1"/>
  <c r="E55" i="15"/>
  <c r="F55" i="15" s="1"/>
  <c r="E60" i="15"/>
  <c r="F60" i="15"/>
  <c r="E75" i="15"/>
  <c r="I33" i="14"/>
  <c r="I36" i="14"/>
  <c r="I38" i="14" s="1"/>
  <c r="I40" i="14" s="1"/>
  <c r="G36" i="14"/>
  <c r="G38" i="14"/>
  <c r="G40" i="14" s="1"/>
  <c r="H17" i="14"/>
  <c r="D33" i="14"/>
  <c r="D36" i="14" s="1"/>
  <c r="D38" i="14" s="1"/>
  <c r="D40" i="14" s="1"/>
  <c r="F33" i="14"/>
  <c r="I17" i="14"/>
  <c r="C21" i="13"/>
  <c r="D15" i="13"/>
  <c r="D17" i="13" s="1"/>
  <c r="D28" i="13" s="1"/>
  <c r="D48" i="13"/>
  <c r="D42" i="13" s="1"/>
  <c r="D20" i="12"/>
  <c r="E15" i="12"/>
  <c r="F15" i="12" s="1"/>
  <c r="E38" i="11"/>
  <c r="F38" i="11" s="1"/>
  <c r="E61" i="11"/>
  <c r="F61" i="11"/>
  <c r="E112" i="10"/>
  <c r="E113" i="10"/>
  <c r="C121" i="10"/>
  <c r="F121" i="10" s="1"/>
  <c r="C122" i="10"/>
  <c r="F122" i="10"/>
  <c r="D207" i="9"/>
  <c r="E207" i="9" s="1"/>
  <c r="F207" i="9" s="1"/>
  <c r="D208" i="9"/>
  <c r="E157" i="8"/>
  <c r="E21" i="8"/>
  <c r="D139" i="8"/>
  <c r="D137" i="8"/>
  <c r="D135" i="8"/>
  <c r="D140" i="8"/>
  <c r="D138" i="8"/>
  <c r="D136" i="8"/>
  <c r="D49" i="8"/>
  <c r="D57" i="8"/>
  <c r="D62" i="8" s="1"/>
  <c r="C15" i="8"/>
  <c r="E15" i="8"/>
  <c r="D17" i="8"/>
  <c r="D43" i="8"/>
  <c r="C49" i="8"/>
  <c r="E49" i="8"/>
  <c r="C77" i="8"/>
  <c r="C71" i="8" s="1"/>
  <c r="E77" i="8"/>
  <c r="E90" i="7"/>
  <c r="F90" i="7" s="1"/>
  <c r="E41" i="6"/>
  <c r="F41" i="6" s="1"/>
  <c r="D21" i="5"/>
  <c r="D35" i="5" s="1"/>
  <c r="E16" i="5"/>
  <c r="F16" i="5" s="1"/>
  <c r="E22" i="4"/>
  <c r="F22" i="4" s="1"/>
  <c r="E29" i="4"/>
  <c r="F29" i="4" s="1"/>
  <c r="E38" i="4"/>
  <c r="F38" i="4"/>
  <c r="C41" i="4"/>
  <c r="C43" i="4" s="1"/>
  <c r="E61" i="4"/>
  <c r="F61" i="4" s="1"/>
  <c r="C54" i="22"/>
  <c r="C46" i="22"/>
  <c r="C40" i="22"/>
  <c r="C36" i="22"/>
  <c r="C30" i="22"/>
  <c r="E53" i="22"/>
  <c r="E45" i="22"/>
  <c r="E39" i="22"/>
  <c r="E35" i="22"/>
  <c r="E29" i="22"/>
  <c r="C53" i="22"/>
  <c r="C45" i="22"/>
  <c r="C39" i="22"/>
  <c r="C35" i="22"/>
  <c r="C29" i="22"/>
  <c r="E20" i="20"/>
  <c r="F20" i="20" s="1"/>
  <c r="C180" i="18"/>
  <c r="C145" i="18"/>
  <c r="C168" i="18"/>
  <c r="D223" i="18"/>
  <c r="E217" i="18"/>
  <c r="D241" i="18"/>
  <c r="E241" i="18"/>
  <c r="D258" i="18"/>
  <c r="D101" i="18"/>
  <c r="D99" i="18"/>
  <c r="D97" i="18"/>
  <c r="D95" i="18"/>
  <c r="D100" i="18"/>
  <c r="D98" i="18"/>
  <c r="D96" i="18"/>
  <c r="D102" i="18" s="1"/>
  <c r="D103" i="18" s="1"/>
  <c r="D89" i="18"/>
  <c r="D87" i="18"/>
  <c r="D85" i="18"/>
  <c r="D83" i="18"/>
  <c r="D88" i="18"/>
  <c r="D84" i="18"/>
  <c r="D86" i="18"/>
  <c r="E214" i="17"/>
  <c r="F214" i="17" s="1"/>
  <c r="D216" i="17"/>
  <c r="D254" i="17"/>
  <c r="E254" i="17" s="1"/>
  <c r="F254" i="17" s="1"/>
  <c r="E137" i="17"/>
  <c r="F137" i="17" s="1"/>
  <c r="D207" i="17"/>
  <c r="D138" i="17"/>
  <c r="E138" i="17" s="1"/>
  <c r="F138" i="17" s="1"/>
  <c r="C304" i="17"/>
  <c r="D300" i="17"/>
  <c r="E264" i="17"/>
  <c r="D272" i="17"/>
  <c r="D286" i="17"/>
  <c r="D32" i="17"/>
  <c r="C300" i="17"/>
  <c r="F264" i="17"/>
  <c r="C263" i="17"/>
  <c r="D255" i="17"/>
  <c r="E206" i="17"/>
  <c r="E274" i="17"/>
  <c r="F274" i="17" s="1"/>
  <c r="E190" i="17"/>
  <c r="F190" i="17" s="1"/>
  <c r="D288" i="17"/>
  <c r="E278" i="17"/>
  <c r="F278" i="17" s="1"/>
  <c r="D173" i="17"/>
  <c r="E262" i="17"/>
  <c r="F262" i="17" s="1"/>
  <c r="D271" i="17"/>
  <c r="D268" i="17"/>
  <c r="E261" i="17"/>
  <c r="F261" i="17" s="1"/>
  <c r="D263" i="17"/>
  <c r="D270" i="17"/>
  <c r="E280" i="17"/>
  <c r="F280" i="17" s="1"/>
  <c r="D284" i="17"/>
  <c r="D279" i="17"/>
  <c r="E279" i="17" s="1"/>
  <c r="F279" i="17" s="1"/>
  <c r="F124" i="17"/>
  <c r="C103" i="17"/>
  <c r="D61" i="17"/>
  <c r="D174" i="17" s="1"/>
  <c r="E37" i="17"/>
  <c r="F37" i="17" s="1"/>
  <c r="E111" i="17"/>
  <c r="F111" i="17"/>
  <c r="E89" i="17"/>
  <c r="F89" i="17"/>
  <c r="D161" i="17"/>
  <c r="D162" i="17" s="1"/>
  <c r="D126" i="17"/>
  <c r="D91" i="17"/>
  <c r="E21" i="17"/>
  <c r="F21" i="17"/>
  <c r="D49" i="17"/>
  <c r="D266" i="17"/>
  <c r="F36" i="14"/>
  <c r="F38" i="14"/>
  <c r="F40" i="14" s="1"/>
  <c r="H33" i="14"/>
  <c r="H36" i="14" s="1"/>
  <c r="H38" i="14" s="1"/>
  <c r="H40" i="14" s="1"/>
  <c r="D24" i="13"/>
  <c r="D34" i="12"/>
  <c r="D28" i="8"/>
  <c r="D99" i="8" s="1"/>
  <c r="D101" i="8" s="1"/>
  <c r="D98" i="8" s="1"/>
  <c r="D112" i="8"/>
  <c r="D111" i="8" s="1"/>
  <c r="C24" i="8"/>
  <c r="C17" i="8"/>
  <c r="E24" i="8"/>
  <c r="E20" i="8"/>
  <c r="E17" i="8"/>
  <c r="E112" i="8" s="1"/>
  <c r="E111" i="8" s="1"/>
  <c r="C35" i="5"/>
  <c r="E21" i="5"/>
  <c r="F21" i="5" s="1"/>
  <c r="C55" i="22"/>
  <c r="C47" i="22"/>
  <c r="C37" i="22"/>
  <c r="E55" i="22"/>
  <c r="E47" i="22"/>
  <c r="E37" i="22"/>
  <c r="C56" i="22"/>
  <c r="C48" i="22"/>
  <c r="C38" i="22"/>
  <c r="C169" i="18"/>
  <c r="D50" i="17"/>
  <c r="D127" i="17"/>
  <c r="F268" i="17"/>
  <c r="D92" i="17"/>
  <c r="D304" i="17"/>
  <c r="D273" i="17"/>
  <c r="D175" i="17"/>
  <c r="D140" i="17"/>
  <c r="D62" i="17"/>
  <c r="D265" i="17"/>
  <c r="E300" i="17"/>
  <c r="F300" i="17" s="1"/>
  <c r="D208" i="17"/>
  <c r="D70" i="13"/>
  <c r="D72" i="13" s="1"/>
  <c r="D69" i="13" s="1"/>
  <c r="D42" i="12"/>
  <c r="E28" i="8"/>
  <c r="E22" i="8" s="1"/>
  <c r="C112" i="8"/>
  <c r="C111" i="8" s="1"/>
  <c r="C28" i="8"/>
  <c r="C99" i="8" s="1"/>
  <c r="C101" i="8" s="1"/>
  <c r="C98" i="8" s="1"/>
  <c r="C43" i="5"/>
  <c r="D43" i="5"/>
  <c r="E35" i="5"/>
  <c r="F35" i="5" s="1"/>
  <c r="D141" i="17"/>
  <c r="D176" i="17"/>
  <c r="E304" i="17"/>
  <c r="F304" i="17" s="1"/>
  <c r="D49" i="12"/>
  <c r="E99" i="8"/>
  <c r="E101" i="8" s="1"/>
  <c r="E98" i="8" s="1"/>
  <c r="D50" i="5"/>
  <c r="E50" i="5" s="1"/>
  <c r="E43" i="5"/>
  <c r="F43" i="5" s="1"/>
  <c r="C50" i="5"/>
  <c r="D322" i="17"/>
  <c r="D183" i="17" l="1"/>
  <c r="D323" i="17"/>
  <c r="E54" i="22"/>
  <c r="E46" i="22"/>
  <c r="E40" i="22"/>
  <c r="E36" i="22"/>
  <c r="E30" i="22"/>
  <c r="D63" i="17"/>
  <c r="E60" i="17"/>
  <c r="F60" i="17" s="1"/>
  <c r="E30" i="7"/>
  <c r="E179" i="9"/>
  <c r="E283" i="17"/>
  <c r="F283" i="17" s="1"/>
  <c r="C286" i="17"/>
  <c r="E286" i="17" s="1"/>
  <c r="D77" i="18"/>
  <c r="D259" i="18"/>
  <c r="D263" i="18" s="1"/>
  <c r="D264" i="18" s="1"/>
  <c r="D266" i="18" s="1"/>
  <c r="D267" i="18" s="1"/>
  <c r="D269" i="18" s="1"/>
  <c r="F43" i="20"/>
  <c r="E43" i="20"/>
  <c r="C75" i="4"/>
  <c r="E56" i="4"/>
  <c r="F56" i="4" s="1"/>
  <c r="C95" i="6"/>
  <c r="C266" i="17"/>
  <c r="C194" i="17"/>
  <c r="D148" i="17"/>
  <c r="C285" i="17"/>
  <c r="C288" i="17" s="1"/>
  <c r="C205" i="17"/>
  <c r="C269" i="17"/>
  <c r="C272" i="17" s="1"/>
  <c r="C215" i="17"/>
  <c r="E204" i="17"/>
  <c r="F204" i="17"/>
  <c r="C255" i="17"/>
  <c r="E255" i="17" s="1"/>
  <c r="F255" i="17" s="1"/>
  <c r="D302" i="18"/>
  <c r="E265" i="18"/>
  <c r="C64" i="19"/>
  <c r="C65" i="19" s="1"/>
  <c r="C114" i="19" s="1"/>
  <c r="C116" i="19" s="1"/>
  <c r="C119" i="19" s="1"/>
  <c r="C123" i="19" s="1"/>
  <c r="F39" i="20"/>
  <c r="E41" i="20"/>
  <c r="F41" i="20" s="1"/>
  <c r="E61" i="17"/>
  <c r="F61" i="17" s="1"/>
  <c r="E263" i="17"/>
  <c r="F263" i="17" s="1"/>
  <c r="F90" i="6"/>
  <c r="E155" i="8"/>
  <c r="E153" i="8"/>
  <c r="E158" i="8" s="1"/>
  <c r="E156" i="8"/>
  <c r="E154" i="8"/>
  <c r="E152" i="8"/>
  <c r="F146" i="17"/>
  <c r="D283" i="18"/>
  <c r="E283" i="18" s="1"/>
  <c r="D22" i="18"/>
  <c r="C33" i="18"/>
  <c r="E32" i="18"/>
  <c r="C294" i="18"/>
  <c r="E54" i="18"/>
  <c r="D55" i="18"/>
  <c r="C211" i="18"/>
  <c r="E210" i="18"/>
  <c r="C234" i="18"/>
  <c r="D102" i="22"/>
  <c r="D101" i="22"/>
  <c r="D103" i="22" s="1"/>
  <c r="E95" i="17"/>
  <c r="F95" i="17"/>
  <c r="E90" i="6"/>
  <c r="D27" i="8"/>
  <c r="E48" i="13"/>
  <c r="E59" i="13"/>
  <c r="E61" i="13" s="1"/>
  <c r="E57" i="13" s="1"/>
  <c r="E229" i="18"/>
  <c r="C240" i="18"/>
  <c r="E216" i="18"/>
  <c r="C222" i="18"/>
  <c r="D33" i="22"/>
  <c r="D22" i="22"/>
  <c r="C104" i="17"/>
  <c r="D139" i="17"/>
  <c r="E139" i="17" s="1"/>
  <c r="F139" i="17" s="1"/>
  <c r="D160" i="17"/>
  <c r="D125" i="17"/>
  <c r="D90" i="17"/>
  <c r="E17" i="12"/>
  <c r="F17" i="12"/>
  <c r="C20" i="12"/>
  <c r="E120" i="17"/>
  <c r="F120" i="17" s="1"/>
  <c r="E277" i="17"/>
  <c r="F277" i="17" s="1"/>
  <c r="C287" i="17"/>
  <c r="C291" i="17" s="1"/>
  <c r="C284" i="17"/>
  <c r="E284" i="17" s="1"/>
  <c r="F284" i="17" s="1"/>
  <c r="C260" i="18"/>
  <c r="E260" i="18" s="1"/>
  <c r="E195" i="18"/>
  <c r="E199" i="17"/>
  <c r="F199" i="17" s="1"/>
  <c r="E205" i="17"/>
  <c r="F205" i="17" s="1"/>
  <c r="D95" i="6"/>
  <c r="F102" i="9"/>
  <c r="C43" i="11"/>
  <c r="E22" i="11"/>
  <c r="F22" i="11"/>
  <c r="C75" i="11"/>
  <c r="E56" i="11"/>
  <c r="F56" i="11"/>
  <c r="C32" i="17"/>
  <c r="E31" i="17"/>
  <c r="F31" i="17" s="1"/>
  <c r="D102" i="17"/>
  <c r="D103" i="17" s="1"/>
  <c r="E101" i="17"/>
  <c r="F101" i="17" s="1"/>
  <c r="E188" i="18"/>
  <c r="C261" i="18"/>
  <c r="E261" i="18" s="1"/>
  <c r="D316" i="18"/>
  <c r="E314" i="18"/>
  <c r="E71" i="8"/>
  <c r="D141" i="8"/>
  <c r="E38" i="6"/>
  <c r="F38" i="6" s="1"/>
  <c r="E47" i="6"/>
  <c r="F47" i="6" s="1"/>
  <c r="E109" i="8"/>
  <c r="E106" i="8" s="1"/>
  <c r="F23" i="9"/>
  <c r="E36" i="9"/>
  <c r="F50" i="9"/>
  <c r="E63" i="9"/>
  <c r="E108" i="10"/>
  <c r="E75" i="11"/>
  <c r="C15" i="13"/>
  <c r="E47" i="17"/>
  <c r="F47" i="17" s="1"/>
  <c r="E135" i="17"/>
  <c r="E170" i="17"/>
  <c r="D234" i="18"/>
  <c r="E234" i="18" s="1"/>
  <c r="C93" i="22"/>
  <c r="D287" i="17"/>
  <c r="C76" i="18"/>
  <c r="E44" i="6"/>
  <c r="E93" i="6"/>
  <c r="C27" i="8"/>
  <c r="C43" i="8"/>
  <c r="E75" i="9"/>
  <c r="F75" i="9" s="1"/>
  <c r="E205" i="9"/>
  <c r="F205" i="9" s="1"/>
  <c r="F29" i="11"/>
  <c r="C80" i="13"/>
  <c r="C77" i="13" s="1"/>
  <c r="C31" i="14"/>
  <c r="H31" i="14" s="1"/>
  <c r="C68" i="17"/>
  <c r="E68" i="17" s="1"/>
  <c r="D189" i="18"/>
  <c r="E189" i="18" s="1"/>
  <c r="E77" i="22"/>
  <c r="E269" i="17"/>
  <c r="F269" i="17" s="1"/>
  <c r="E193" i="17"/>
  <c r="E73" i="4"/>
  <c r="F73" i="4" s="1"/>
  <c r="E48" i="6"/>
  <c r="F48" i="6" s="1"/>
  <c r="E88" i="6"/>
  <c r="F88" i="6" s="1"/>
  <c r="D79" i="8"/>
  <c r="D109" i="8"/>
  <c r="D106" i="8" s="1"/>
  <c r="C149" i="8"/>
  <c r="D121" i="10"/>
  <c r="E121" i="10" s="1"/>
  <c r="E115" i="10"/>
  <c r="D27" i="13"/>
  <c r="E76" i="17"/>
  <c r="F76" i="17" s="1"/>
  <c r="E145" i="17"/>
  <c r="F145" i="17" s="1"/>
  <c r="E178" i="18"/>
  <c r="F44" i="20"/>
  <c r="C77" i="22"/>
  <c r="E285" i="17"/>
  <c r="F285" i="17" s="1"/>
  <c r="E103" i="22"/>
  <c r="E18" i="5"/>
  <c r="F18" i="5" s="1"/>
  <c r="D52" i="6"/>
  <c r="E52" i="6" s="1"/>
  <c r="F52" i="6" s="1"/>
  <c r="F86" i="6"/>
  <c r="F94" i="6"/>
  <c r="E180" i="9"/>
  <c r="C208" i="9"/>
  <c r="E71" i="10"/>
  <c r="D65" i="18"/>
  <c r="E179" i="18"/>
  <c r="E25" i="20"/>
  <c r="F25" i="20" s="1"/>
  <c r="F25" i="6"/>
  <c r="F18" i="7"/>
  <c r="F35" i="7"/>
  <c r="E58" i="17"/>
  <c r="F67" i="17"/>
  <c r="F158" i="17"/>
  <c r="E280" i="18"/>
  <c r="E88" i="22"/>
  <c r="C98" i="22"/>
  <c r="E288" i="17"/>
  <c r="F288" i="17" s="1"/>
  <c r="E33" i="5"/>
  <c r="F33" i="5" s="1"/>
  <c r="E42" i="6"/>
  <c r="F42" i="6" s="1"/>
  <c r="F92" i="6"/>
  <c r="E130" i="7"/>
  <c r="F130" i="7" s="1"/>
  <c r="D166" i="8"/>
  <c r="F49" i="9"/>
  <c r="E127" i="9"/>
  <c r="F127" i="9" s="1"/>
  <c r="E60" i="10"/>
  <c r="E35" i="17"/>
  <c r="F35" i="17" s="1"/>
  <c r="E158" i="17"/>
  <c r="D289" i="18"/>
  <c r="E289" i="18" s="1"/>
  <c r="E208" i="9"/>
  <c r="F208" i="9" s="1"/>
  <c r="F75" i="15"/>
  <c r="E102" i="17"/>
  <c r="F102" i="17" s="1"/>
  <c r="E65" i="4"/>
  <c r="F65" i="4" s="1"/>
  <c r="E68" i="6"/>
  <c r="F68" i="6" s="1"/>
  <c r="C188" i="7"/>
  <c r="C109" i="8"/>
  <c r="C106" i="8" s="1"/>
  <c r="E35" i="10"/>
  <c r="E65" i="11"/>
  <c r="F65" i="11" s="1"/>
  <c r="D61" i="13"/>
  <c r="D57" i="13" s="1"/>
  <c r="E100" i="15"/>
  <c r="F100" i="15" s="1"/>
  <c r="E278" i="18"/>
  <c r="D88" i="22"/>
  <c r="F50" i="5"/>
  <c r="C265" i="17"/>
  <c r="E266" i="17"/>
  <c r="F266" i="17" s="1"/>
  <c r="D254" i="18"/>
  <c r="D209" i="17"/>
  <c r="D75" i="4"/>
  <c r="E75" i="4" s="1"/>
  <c r="F75" i="4" s="1"/>
  <c r="D268" i="18"/>
  <c r="D70" i="17"/>
  <c r="C77" i="18"/>
  <c r="E76" i="18"/>
  <c r="D43" i="4"/>
  <c r="E43" i="4" s="1"/>
  <c r="F43" i="4" s="1"/>
  <c r="E41" i="4"/>
  <c r="F41" i="4" s="1"/>
  <c r="D210" i="17"/>
  <c r="D90" i="18"/>
  <c r="F45" i="6"/>
  <c r="F49" i="6"/>
  <c r="F206" i="17"/>
  <c r="E140" i="8"/>
  <c r="E138" i="8"/>
  <c r="E136" i="8"/>
  <c r="E139" i="8"/>
  <c r="E137" i="8"/>
  <c r="E135" i="8"/>
  <c r="C196" i="17"/>
  <c r="F43" i="6"/>
  <c r="D282" i="17"/>
  <c r="F193" i="17"/>
  <c r="C270" i="17"/>
  <c r="D35" i="22"/>
  <c r="E245" i="18"/>
  <c r="E71" i="18"/>
  <c r="E87" i="6"/>
  <c r="E15" i="13"/>
  <c r="E25" i="13"/>
  <c r="E27" i="13" s="1"/>
  <c r="F135" i="17"/>
  <c r="C239" i="17"/>
  <c r="E237" i="17"/>
  <c r="F237" i="17" s="1"/>
  <c r="D188" i="7"/>
  <c r="E188" i="7" s="1"/>
  <c r="F188" i="7" s="1"/>
  <c r="E167" i="7"/>
  <c r="F167" i="7" s="1"/>
  <c r="C271" i="17"/>
  <c r="D45" i="22"/>
  <c r="F124" i="6"/>
  <c r="E166" i="6"/>
  <c r="F166" i="6" s="1"/>
  <c r="E37" i="9"/>
  <c r="F37" i="9"/>
  <c r="C91" i="17"/>
  <c r="D194" i="17"/>
  <c r="D53" i="22"/>
  <c r="F179" i="6"/>
  <c r="C95" i="7"/>
  <c r="F24" i="9"/>
  <c r="E36" i="18"/>
  <c r="C126" i="17"/>
  <c r="F153" i="6"/>
  <c r="E179" i="6"/>
  <c r="F30" i="7"/>
  <c r="C166" i="8"/>
  <c r="E41" i="11"/>
  <c r="F41" i="11" s="1"/>
  <c r="D43" i="11"/>
  <c r="E43" i="11" s="1"/>
  <c r="F43" i="11" s="1"/>
  <c r="C289" i="17"/>
  <c r="E45" i="20"/>
  <c r="E46" i="20" s="1"/>
  <c r="C46" i="20"/>
  <c r="F267" i="17"/>
  <c r="C161" i="17"/>
  <c r="D110" i="22"/>
  <c r="C90" i="8"/>
  <c r="C86" i="8" s="1"/>
  <c r="E62" i="9"/>
  <c r="E24" i="7"/>
  <c r="F24" i="7" s="1"/>
  <c r="E41" i="7"/>
  <c r="F41" i="7" s="1"/>
  <c r="E215" i="18"/>
  <c r="F59" i="7"/>
  <c r="E53" i="8"/>
  <c r="F199" i="9"/>
  <c r="E202" i="9"/>
  <c r="E120" i="10"/>
  <c r="F65" i="15"/>
  <c r="F17" i="17"/>
  <c r="F23" i="17"/>
  <c r="F165" i="17"/>
  <c r="C172" i="17"/>
  <c r="F171" i="17"/>
  <c r="E307" i="17"/>
  <c r="F307" i="17" s="1"/>
  <c r="E39" i="18"/>
  <c r="E153" i="9"/>
  <c r="F200" i="9"/>
  <c r="E206" i="9"/>
  <c r="F206" i="9" s="1"/>
  <c r="E107" i="10"/>
  <c r="E118" i="10"/>
  <c r="G31" i="14"/>
  <c r="I31" i="14" s="1"/>
  <c r="F21" i="16"/>
  <c r="E29" i="17"/>
  <c r="F29" i="17" s="1"/>
  <c r="E161" i="18"/>
  <c r="E203" i="9"/>
  <c r="F203" i="9" s="1"/>
  <c r="D122" i="10"/>
  <c r="E122" i="10" s="1"/>
  <c r="F32" i="12"/>
  <c r="F107" i="15"/>
  <c r="F24" i="17"/>
  <c r="F179" i="17"/>
  <c r="C181" i="17"/>
  <c r="C43" i="18"/>
  <c r="E227" i="18"/>
  <c r="E232" i="18"/>
  <c r="E76" i="9"/>
  <c r="F76" i="9" s="1"/>
  <c r="F198" i="9"/>
  <c r="F204" i="9"/>
  <c r="E116" i="10"/>
  <c r="E179" i="17"/>
  <c r="D156" i="18"/>
  <c r="D163" i="18"/>
  <c r="E163" i="18" s="1"/>
  <c r="E162" i="18"/>
  <c r="F58" i="17"/>
  <c r="F164" i="17"/>
  <c r="C102" i="22"/>
  <c r="C103" i="22" s="1"/>
  <c r="C57" i="8"/>
  <c r="C62" i="8" s="1"/>
  <c r="F36" i="9"/>
  <c r="F101" i="9"/>
  <c r="E128" i="9"/>
  <c r="F128" i="9" s="1"/>
  <c r="E201" i="9"/>
  <c r="F201" i="9" s="1"/>
  <c r="E114" i="10"/>
  <c r="E42" i="13"/>
  <c r="F70" i="15"/>
  <c r="E52" i="17"/>
  <c r="F52" i="17" s="1"/>
  <c r="E66" i="17"/>
  <c r="F66" i="17" s="1"/>
  <c r="F170" i="17"/>
  <c r="E38" i="18"/>
  <c r="D23" i="22"/>
  <c r="D34" i="22"/>
  <c r="F202" i="9"/>
  <c r="F83" i="10"/>
  <c r="E50" i="13"/>
  <c r="F53" i="17"/>
  <c r="E180" i="17"/>
  <c r="F180" i="17" s="1"/>
  <c r="E251" i="18"/>
  <c r="C48" i="17"/>
  <c r="D144" i="18"/>
  <c r="C243" i="18"/>
  <c r="F223" i="17"/>
  <c r="F238" i="17"/>
  <c r="E36" i="20"/>
  <c r="F36" i="20" s="1"/>
  <c r="E56" i="22" l="1"/>
  <c r="E48" i="22"/>
  <c r="E38" i="22"/>
  <c r="E113" i="22"/>
  <c r="D294" i="18"/>
  <c r="E65" i="18"/>
  <c r="D66" i="18"/>
  <c r="D246" i="18"/>
  <c r="E246" i="18" s="1"/>
  <c r="D21" i="13"/>
  <c r="D22" i="13"/>
  <c r="C24" i="13"/>
  <c r="C20" i="13" s="1"/>
  <c r="C17" i="13"/>
  <c r="C28" i="13" s="1"/>
  <c r="E20" i="12"/>
  <c r="F20" i="12"/>
  <c r="C34" i="12"/>
  <c r="E33" i="18"/>
  <c r="C295" i="18"/>
  <c r="E272" i="17"/>
  <c r="F272" i="17"/>
  <c r="F286" i="17"/>
  <c r="D291" i="17"/>
  <c r="D289" i="17"/>
  <c r="E287" i="17"/>
  <c r="F287" i="17" s="1"/>
  <c r="E103" i="17"/>
  <c r="F103" i="17" s="1"/>
  <c r="D105" i="17"/>
  <c r="D284" i="18"/>
  <c r="E284" i="18" s="1"/>
  <c r="E22" i="18"/>
  <c r="D20" i="13"/>
  <c r="D29" i="22"/>
  <c r="D39" i="22"/>
  <c r="D20" i="8"/>
  <c r="D22" i="8"/>
  <c r="D21" i="8"/>
  <c r="E215" i="17"/>
  <c r="F215" i="17" s="1"/>
  <c r="C216" i="17"/>
  <c r="C108" i="22"/>
  <c r="C109" i="22"/>
  <c r="C111" i="22"/>
  <c r="C110" i="22"/>
  <c r="C112" i="22"/>
  <c r="C113" i="22"/>
  <c r="C140" i="8"/>
  <c r="C138" i="8"/>
  <c r="C136" i="8"/>
  <c r="C139" i="8"/>
  <c r="C137" i="8"/>
  <c r="C135" i="8"/>
  <c r="E108" i="22"/>
  <c r="E109" i="22"/>
  <c r="E110" i="22"/>
  <c r="E112" i="22"/>
  <c r="C140" i="17"/>
  <c r="C62" i="17"/>
  <c r="C105" i="17"/>
  <c r="C106" i="17" s="1"/>
  <c r="E32" i="17"/>
  <c r="F32" i="17" s="1"/>
  <c r="C235" i="18"/>
  <c r="E211" i="18"/>
  <c r="C181" i="18"/>
  <c r="D303" i="18"/>
  <c r="E302" i="18"/>
  <c r="C21" i="8"/>
  <c r="C20" i="8"/>
  <c r="C22" i="8"/>
  <c r="E95" i="6"/>
  <c r="F95" i="6" s="1"/>
  <c r="C305" i="17"/>
  <c r="C309" i="17" s="1"/>
  <c r="C310" i="17" s="1"/>
  <c r="C312" i="17" s="1"/>
  <c r="C313" i="17" s="1"/>
  <c r="E222" i="18"/>
  <c r="C223" i="18"/>
  <c r="C246" i="18"/>
  <c r="D104" i="17"/>
  <c r="E104" i="17" s="1"/>
  <c r="F104" i="17" s="1"/>
  <c r="D235" i="18"/>
  <c r="E235" i="18" s="1"/>
  <c r="E55" i="18"/>
  <c r="D154" i="8"/>
  <c r="D152" i="8"/>
  <c r="D157" i="8"/>
  <c r="D155" i="8"/>
  <c r="D153" i="8"/>
  <c r="D156" i="8"/>
  <c r="F68" i="17"/>
  <c r="D320" i="18"/>
  <c r="E320" i="18" s="1"/>
  <c r="E316" i="18"/>
  <c r="D126" i="18"/>
  <c r="D125" i="18"/>
  <c r="D124" i="18"/>
  <c r="D123" i="18"/>
  <c r="D122" i="18"/>
  <c r="D128" i="18" s="1"/>
  <c r="D129" i="18" s="1"/>
  <c r="D121" i="18"/>
  <c r="D115" i="18"/>
  <c r="D114" i="18"/>
  <c r="D113" i="18"/>
  <c r="D112" i="18"/>
  <c r="D111" i="18"/>
  <c r="D110" i="18"/>
  <c r="D116" i="18" s="1"/>
  <c r="D109" i="18"/>
  <c r="D117" i="18" s="1"/>
  <c r="D127" i="18"/>
  <c r="F75" i="11"/>
  <c r="C253" i="18"/>
  <c r="E253" i="18" s="1"/>
  <c r="E240" i="18"/>
  <c r="E294" i="18"/>
  <c r="E111" i="22"/>
  <c r="E126" i="17"/>
  <c r="F126" i="17" s="1"/>
  <c r="C127" i="17"/>
  <c r="E91" i="17"/>
  <c r="F91" i="17" s="1"/>
  <c r="C92" i="17"/>
  <c r="E24" i="13"/>
  <c r="E20" i="13" s="1"/>
  <c r="E17" i="13"/>
  <c r="E28" i="13" s="1"/>
  <c r="E70" i="13" s="1"/>
  <c r="E72" i="13" s="1"/>
  <c r="E69" i="13" s="1"/>
  <c r="C114" i="18"/>
  <c r="E114" i="18" s="1"/>
  <c r="C113" i="18"/>
  <c r="C112" i="18"/>
  <c r="E112" i="18" s="1"/>
  <c r="C111" i="18"/>
  <c r="E111" i="18" s="1"/>
  <c r="C110" i="18"/>
  <c r="C109" i="18"/>
  <c r="E77" i="18"/>
  <c r="C126" i="18"/>
  <c r="E126" i="18" s="1"/>
  <c r="C127" i="18"/>
  <c r="E127" i="18" s="1"/>
  <c r="C124" i="18"/>
  <c r="E124" i="18" s="1"/>
  <c r="C125" i="18"/>
  <c r="E125" i="18" s="1"/>
  <c r="C122" i="18"/>
  <c r="C121" i="18"/>
  <c r="C115" i="18"/>
  <c r="E115" i="18" s="1"/>
  <c r="C123" i="18"/>
  <c r="E123" i="18" s="1"/>
  <c r="E289" i="17"/>
  <c r="F289" i="17" s="1"/>
  <c r="C314" i="17"/>
  <c r="C251" i="17"/>
  <c r="C256" i="17"/>
  <c r="C315" i="17"/>
  <c r="D157" i="18"/>
  <c r="E157" i="18" s="1"/>
  <c r="E156" i="18"/>
  <c r="C259" i="18"/>
  <c r="C44" i="18"/>
  <c r="E43" i="18"/>
  <c r="D271" i="18"/>
  <c r="E181" i="17"/>
  <c r="F181" i="17" s="1"/>
  <c r="C162" i="17"/>
  <c r="C155" i="8"/>
  <c r="C153" i="8"/>
  <c r="C156" i="8"/>
  <c r="C154" i="8"/>
  <c r="C152" i="8"/>
  <c r="C157" i="8"/>
  <c r="D168" i="18"/>
  <c r="E168" i="18" s="1"/>
  <c r="E144" i="18"/>
  <c r="D145" i="18"/>
  <c r="D180" i="18"/>
  <c r="E180" i="18" s="1"/>
  <c r="E239" i="17"/>
  <c r="F239" i="17"/>
  <c r="E270" i="17"/>
  <c r="F270" i="17" s="1"/>
  <c r="C252" i="18"/>
  <c r="E243" i="18"/>
  <c r="D111" i="22"/>
  <c r="D54" i="22"/>
  <c r="D46" i="22"/>
  <c r="D30" i="22"/>
  <c r="D40" i="22"/>
  <c r="D36" i="22"/>
  <c r="F45" i="20"/>
  <c r="D91" i="18"/>
  <c r="E95" i="7"/>
  <c r="F95" i="7" s="1"/>
  <c r="E265" i="17"/>
  <c r="F265" i="17" s="1"/>
  <c r="C90" i="17"/>
  <c r="C125" i="17"/>
  <c r="C49" i="17"/>
  <c r="C160" i="17"/>
  <c r="E48" i="17"/>
  <c r="F48" i="17" s="1"/>
  <c r="C195" i="17"/>
  <c r="C173" i="17"/>
  <c r="E172" i="17"/>
  <c r="C207" i="17"/>
  <c r="F172" i="17"/>
  <c r="F46" i="20"/>
  <c r="E194" i="17"/>
  <c r="F194" i="17" s="1"/>
  <c r="D196" i="17"/>
  <c r="D195" i="17"/>
  <c r="E195" i="17" s="1"/>
  <c r="E271" i="17"/>
  <c r="F271" i="17" s="1"/>
  <c r="C273" i="17"/>
  <c r="E21" i="13"/>
  <c r="E22" i="13"/>
  <c r="E282" i="17"/>
  <c r="F282" i="17" s="1"/>
  <c r="D281" i="17"/>
  <c r="E281" i="17" s="1"/>
  <c r="F281" i="17" s="1"/>
  <c r="E141" i="8"/>
  <c r="D211" i="17"/>
  <c r="E161" i="17"/>
  <c r="F161" i="17" s="1"/>
  <c r="C63" i="17" l="1"/>
  <c r="E63" i="17" s="1"/>
  <c r="F63" i="17" s="1"/>
  <c r="E62" i="17"/>
  <c r="F62" i="17" s="1"/>
  <c r="E34" i="12"/>
  <c r="F34" i="12" s="1"/>
  <c r="C42" i="12"/>
  <c r="D295" i="18"/>
  <c r="E295" i="18" s="1"/>
  <c r="D247" i="18"/>
  <c r="E66" i="18"/>
  <c r="C247" i="18"/>
  <c r="E223" i="18"/>
  <c r="C141" i="17"/>
  <c r="E140" i="17"/>
  <c r="F140" i="17" s="1"/>
  <c r="D112" i="22"/>
  <c r="D55" i="22"/>
  <c r="D47" i="22"/>
  <c r="D37" i="22"/>
  <c r="D305" i="17"/>
  <c r="E291" i="17"/>
  <c r="F291" i="17" s="1"/>
  <c r="D306" i="18"/>
  <c r="E303" i="18"/>
  <c r="E216" i="17"/>
  <c r="F216" i="17" s="1"/>
  <c r="D158" i="8"/>
  <c r="C70" i="13"/>
  <c r="C72" i="13" s="1"/>
  <c r="C69" i="13" s="1"/>
  <c r="C22" i="13"/>
  <c r="D106" i="17"/>
  <c r="E105" i="17"/>
  <c r="F105" i="17" s="1"/>
  <c r="E113" i="18"/>
  <c r="C141" i="8"/>
  <c r="E49" i="17"/>
  <c r="C50" i="17"/>
  <c r="F49" i="17"/>
  <c r="E90" i="17"/>
  <c r="F90" i="17" s="1"/>
  <c r="D131" i="18"/>
  <c r="C257" i="17"/>
  <c r="D113" i="22"/>
  <c r="D56" i="22"/>
  <c r="D38" i="22"/>
  <c r="D48" i="22"/>
  <c r="C101" i="18"/>
  <c r="E101" i="18" s="1"/>
  <c r="C83" i="18"/>
  <c r="C99" i="18"/>
  <c r="E99" i="18" s="1"/>
  <c r="C89" i="18"/>
  <c r="E89" i="18" s="1"/>
  <c r="C97" i="18"/>
  <c r="E97" i="18" s="1"/>
  <c r="C85" i="18"/>
  <c r="E85" i="18" s="1"/>
  <c r="C95" i="18"/>
  <c r="E44" i="18"/>
  <c r="C258" i="18"/>
  <c r="C88" i="18"/>
  <c r="E88" i="18" s="1"/>
  <c r="C100" i="18"/>
  <c r="E100" i="18" s="1"/>
  <c r="C86" i="18"/>
  <c r="E86" i="18" s="1"/>
  <c r="C96" i="18"/>
  <c r="C87" i="18"/>
  <c r="E87" i="18" s="1"/>
  <c r="C98" i="18"/>
  <c r="E98" i="18" s="1"/>
  <c r="C84" i="18"/>
  <c r="E109" i="18"/>
  <c r="E92" i="17"/>
  <c r="C324" i="17"/>
  <c r="F92" i="17"/>
  <c r="C113" i="17"/>
  <c r="C175" i="17"/>
  <c r="C174" i="17"/>
  <c r="E173" i="17"/>
  <c r="F173" i="17" s="1"/>
  <c r="F195" i="17"/>
  <c r="C318" i="17"/>
  <c r="D197" i="17"/>
  <c r="E196" i="17"/>
  <c r="F196" i="17" s="1"/>
  <c r="E162" i="17"/>
  <c r="F162" i="17"/>
  <c r="C263" i="18"/>
  <c r="E263" i="18" s="1"/>
  <c r="E259" i="18"/>
  <c r="E121" i="18"/>
  <c r="E110" i="18"/>
  <c r="C116" i="18"/>
  <c r="E116" i="18" s="1"/>
  <c r="D105" i="18"/>
  <c r="E122" i="18"/>
  <c r="C128" i="18"/>
  <c r="E128" i="18" s="1"/>
  <c r="E160" i="17"/>
  <c r="F160" i="17"/>
  <c r="C158" i="8"/>
  <c r="C197" i="17"/>
  <c r="C148" i="17"/>
  <c r="E127" i="17"/>
  <c r="F127" i="17"/>
  <c r="C254" i="18"/>
  <c r="E254" i="18" s="1"/>
  <c r="E252" i="18"/>
  <c r="E273" i="17"/>
  <c r="F273" i="17"/>
  <c r="C208" i="17"/>
  <c r="E207" i="17"/>
  <c r="F207" i="17"/>
  <c r="E125" i="17"/>
  <c r="F125" i="17" s="1"/>
  <c r="D181" i="18"/>
  <c r="E181" i="18" s="1"/>
  <c r="D169" i="18"/>
  <c r="E169" i="18" s="1"/>
  <c r="E145" i="18"/>
  <c r="C129" i="18" l="1"/>
  <c r="E129" i="18" s="1"/>
  <c r="E247" i="18"/>
  <c r="E197" i="17"/>
  <c r="E42" i="12"/>
  <c r="F42" i="12" s="1"/>
  <c r="C49" i="12"/>
  <c r="E49" i="12" s="1"/>
  <c r="F49" i="12" s="1"/>
  <c r="E305" i="17"/>
  <c r="F305" i="17" s="1"/>
  <c r="D309" i="17"/>
  <c r="E306" i="18"/>
  <c r="D310" i="18"/>
  <c r="E310" i="18" s="1"/>
  <c r="C322" i="17"/>
  <c r="E322" i="17" s="1"/>
  <c r="F322" i="17" s="1"/>
  <c r="E141" i="17"/>
  <c r="F141" i="17" s="1"/>
  <c r="D113" i="17"/>
  <c r="E106" i="17"/>
  <c r="F106" i="17" s="1"/>
  <c r="D324" i="17"/>
  <c r="D325" i="17" s="1"/>
  <c r="E96" i="18"/>
  <c r="C102" i="18"/>
  <c r="E102" i="18" s="1"/>
  <c r="E113" i="17"/>
  <c r="F113" i="17" s="1"/>
  <c r="E148" i="17"/>
  <c r="F148" i="17" s="1"/>
  <c r="C209" i="17"/>
  <c r="C210" i="17"/>
  <c r="E208" i="17"/>
  <c r="F208" i="17" s="1"/>
  <c r="F197" i="17"/>
  <c r="E83" i="18"/>
  <c r="C117" i="18"/>
  <c r="E258" i="18"/>
  <c r="C264" i="18"/>
  <c r="E174" i="17"/>
  <c r="F174" i="17" s="1"/>
  <c r="E84" i="18"/>
  <c r="C90" i="18"/>
  <c r="E90" i="18" s="1"/>
  <c r="E50" i="17"/>
  <c r="F50" i="17" s="1"/>
  <c r="C70" i="17"/>
  <c r="C176" i="17"/>
  <c r="E175" i="17"/>
  <c r="F175" i="17"/>
  <c r="C103" i="18"/>
  <c r="E103" i="18" s="1"/>
  <c r="E95" i="18"/>
  <c r="D310" i="17" l="1"/>
  <c r="E309" i="17"/>
  <c r="F309" i="17" s="1"/>
  <c r="E324" i="17"/>
  <c r="F324" i="17" s="1"/>
  <c r="E209" i="17"/>
  <c r="F209" i="17" s="1"/>
  <c r="C131" i="18"/>
  <c r="E131" i="18" s="1"/>
  <c r="E117" i="18"/>
  <c r="C91" i="18"/>
  <c r="C211" i="17"/>
  <c r="E176" i="17"/>
  <c r="F176" i="17" s="1"/>
  <c r="C323" i="17"/>
  <c r="C183" i="17"/>
  <c r="E70" i="17"/>
  <c r="F70" i="17" s="1"/>
  <c r="C266" i="18"/>
  <c r="E264" i="18"/>
  <c r="E210" i="17"/>
  <c r="F210" i="17" s="1"/>
  <c r="E310" i="17" l="1"/>
  <c r="F310" i="17" s="1"/>
  <c r="D312" i="17"/>
  <c r="E211" i="17"/>
  <c r="F211" i="17" s="1"/>
  <c r="E266" i="18"/>
  <c r="C267" i="18"/>
  <c r="C105" i="18"/>
  <c r="E105" i="18" s="1"/>
  <c r="E91" i="18"/>
  <c r="E183" i="17"/>
  <c r="F183" i="17" s="1"/>
  <c r="E323" i="17"/>
  <c r="F323" i="17" s="1"/>
  <c r="C325" i="17"/>
  <c r="E312" i="17" l="1"/>
  <c r="F312" i="17" s="1"/>
  <c r="D313" i="17"/>
  <c r="E267" i="18"/>
  <c r="C269" i="18"/>
  <c r="E269" i="18" s="1"/>
  <c r="C268" i="18"/>
  <c r="E325" i="17"/>
  <c r="F325" i="17" s="1"/>
  <c r="D315" i="17" l="1"/>
  <c r="E315" i="17" s="1"/>
  <c r="F315" i="17" s="1"/>
  <c r="E313" i="17"/>
  <c r="F313" i="17" s="1"/>
  <c r="D314" i="17"/>
  <c r="D251" i="17"/>
  <c r="E251" i="17" s="1"/>
  <c r="F251" i="17" s="1"/>
  <c r="D256" i="17"/>
  <c r="C271" i="18"/>
  <c r="E271" i="18" s="1"/>
  <c r="E268" i="18"/>
  <c r="D257" i="17" l="1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<sst xmlns="http://schemas.openxmlformats.org/spreadsheetml/2006/main" count="2333" uniqueCount="1008">
  <si>
    <t>SAINT VINCENT`S MEDICAL CENTER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</si>
  <si>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</si>
  <si>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</si>
  <si>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</si>
  <si>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</si>
  <si>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</si>
  <si>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</si>
  <si>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</si>
  <si>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</si>
  <si>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</si>
  <si>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</si>
  <si>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</si>
  <si>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</si>
  <si>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</si>
  <si>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</si>
  <si>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</si>
  <si>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</si>
  <si>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</si>
  <si>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</si>
  <si>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</si>
  <si>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</si>
  <si>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</si>
  <si>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</si>
  <si>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</si>
  <si>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</si>
  <si>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</si>
  <si>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</si>
  <si>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</si>
  <si>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</si>
  <si>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</si>
  <si>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</si>
  <si>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</si>
  <si>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</si>
  <si>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</si>
  <si>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</si>
  <si>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</si>
  <si>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</si>
  <si>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</si>
  <si>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</si>
  <si>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</si>
  <si>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</si>
  <si>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</si>
  <si>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</si>
  <si>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</si>
  <si>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</si>
  <si>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</si>
  <si>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</si>
  <si>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</si>
  <si>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</si>
  <si>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</si>
  <si>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</si>
  <si>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</si>
  <si>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</si>
  <si>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</si>
  <si>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</si>
  <si>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</si>
  <si>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</si>
  <si>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</si>
  <si>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</si>
  <si>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</si>
  <si>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</si>
  <si>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</si>
  <si>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</si>
  <si>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</si>
  <si>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</si>
  <si>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</si>
  <si>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</si>
  <si>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</si>
  <si>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</si>
  <si>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</si>
  <si>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</si>
  <si>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</si>
  <si>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</si>
  <si>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</si>
  <si>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</si>
  <si>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</si>
  <si>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</si>
  <si>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</si>
  <si>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</si>
  <si>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</si>
  <si>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</si>
  <si>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</si>
  <si>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</si>
  <si>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</si>
  <si>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</si>
  <si>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</si>
  <si>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</si>
  <si>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</si>
  <si>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</si>
  <si>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</si>
  <si>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</si>
  <si>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</si>
  <si>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</si>
  <si>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</si>
  <si>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</si>
  <si>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</si>
  <si>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</si>
  <si>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</si>
  <si>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</si>
  <si>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</si>
  <si>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</si>
  <si>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</si>
  <si>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</si>
  <si>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</si>
  <si>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</si>
  <si>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</si>
  <si>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</si>
  <si>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</si>
  <si>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</si>
  <si>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</si>
  <si>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</si>
  <si>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</si>
  <si>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</si>
  <si>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</si>
  <si>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</si>
  <si>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</si>
  <si>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</si>
  <si>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</si>
  <si>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</si>
  <si>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</si>
  <si>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</si>
  <si>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</si>
  <si>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</si>
  <si>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</si>
  <si>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</si>
  <si>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</si>
  <si>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</si>
  <si>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</si>
  <si>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</si>
  <si>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</si>
  <si>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</si>
  <si>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</si>
  <si>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</si>
  <si>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</si>
  <si>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</si>
  <si>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</si>
  <si>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</si>
  <si>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</si>
  <si>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</si>
  <si>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</si>
  <si>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</si>
  <si>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</si>
  <si>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</si>
  <si>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</si>
  <si>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</si>
  <si>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</si>
  <si>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</si>
  <si>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</si>
  <si>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</si>
  <si>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</si>
  <si>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</si>
  <si>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</si>
  <si>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</si>
  <si>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</si>
  <si>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</si>
  <si>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</si>
  <si>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</si>
  <si>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</si>
  <si>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</si>
  <si>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</si>
  <si>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</si>
  <si>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</si>
  <si>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</si>
  <si>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</si>
  <si>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</si>
  <si>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</si>
  <si>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</si>
  <si>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</si>
  <si>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</si>
  <si>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</si>
  <si>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</si>
  <si>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</si>
  <si>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</si>
  <si>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</si>
  <si>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</si>
  <si>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</si>
  <si>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</si>
  <si>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</si>
  <si>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</si>
  <si>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</si>
  <si>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</si>
  <si>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</si>
  <si>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</si>
  <si>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</si>
  <si>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</si>
  <si>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</si>
  <si>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</si>
  <si>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</si>
  <si>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</si>
  <si>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</si>
  <si>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</si>
  <si>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</si>
  <si>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</si>
  <si>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</si>
  <si>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</si>
  <si>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</si>
  <si>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</si>
  <si>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</si>
  <si>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</si>
  <si>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</si>
  <si>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</si>
  <si>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</si>
  <si>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</si>
  <si>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</si>
  <si>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</si>
  <si>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</si>
  <si>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</si>
  <si>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</si>
  <si>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</si>
  <si>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</si>
  <si>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</si>
  <si>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</si>
  <si>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</si>
  <si>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</si>
  <si>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</si>
  <si>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</si>
  <si>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</si>
  <si>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</si>
  <si>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</si>
  <si>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</si>
  <si>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</si>
  <si>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</si>
  <si>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</si>
  <si>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</si>
  <si>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</si>
  <si>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</si>
  <si>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</si>
  <si>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</si>
  <si>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</si>
  <si>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</si>
  <si>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</si>
  <si>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</si>
  <si>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</si>
  <si>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</si>
  <si>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</si>
  <si>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</si>
  <si>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</si>
  <si>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</si>
  <si>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</si>
  <si>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</si>
  <si>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</si>
  <si>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</si>
  <si>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</si>
  <si>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</si>
  <si>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</si>
  <si>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</si>
  <si>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</si>
  <si>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</si>
  <si>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</si>
  <si>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</si>
  <si>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</si>
  <si>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</si>
  <si>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</si>
  <si>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</si>
  <si>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</si>
  <si>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</si>
  <si>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</si>
  <si>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</si>
  <si>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</si>
  <si>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</si>
  <si>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</si>
  <si>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</si>
  <si>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</si>
  <si>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</si>
  <si>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</si>
  <si>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</si>
  <si>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</si>
  <si>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</si>
  <si>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</si>
  <si>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</si>
  <si>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</si>
  <si>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</si>
  <si>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</si>
  <si>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</si>
  <si>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</si>
  <si>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</si>
  <si>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</si>
  <si>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</si>
  <si>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</si>
  <si>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</si>
  <si>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</si>
  <si>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</si>
  <si>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</si>
  <si>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</si>
  <si>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</si>
  <si>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</si>
  <si>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</si>
  <si>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</si>
  <si>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</si>
  <si>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</si>
  <si>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</si>
  <si>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</si>
  <si>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</si>
  <si>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</si>
  <si>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</si>
  <si>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</si>
  <si>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</si>
  <si>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</si>
  <si>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</si>
  <si>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</si>
  <si>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</si>
  <si>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</si>
  <si>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</si>
  <si>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</si>
  <si>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</si>
  <si>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</si>
  <si>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</si>
  <si>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</si>
  <si>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</si>
  <si>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</si>
  <si>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</si>
  <si>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</si>
  <si>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</si>
  <si>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</si>
  <si>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</si>
  <si>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</si>
  <si>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</si>
  <si>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</si>
  <si>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</si>
  <si>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</si>
  <si>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</si>
  <si>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</si>
  <si>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</si>
  <si>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</si>
  <si>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</si>
  <si>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</si>
  <si>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</si>
  <si>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</si>
  <si>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</si>
  <si>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</si>
  <si>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</si>
  <si>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</si>
  <si>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</si>
  <si>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</si>
  <si>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</si>
  <si>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</si>
  <si>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</si>
  <si>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</si>
  <si>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</si>
  <si>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</si>
  <si>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</si>
  <si>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</si>
  <si>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</si>
  <si>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</si>
  <si>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</si>
  <si>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</si>
  <si>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</si>
  <si>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</si>
  <si>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</si>
  <si>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</si>
  <si>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</si>
  <si>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</si>
  <si>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</si>
  <si>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</si>
  <si>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</si>
  <si>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</si>
  <si>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</si>
  <si>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</si>
  <si>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</si>
  <si>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</si>
  <si>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</si>
  <si>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</si>
  <si>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</si>
  <si>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</si>
  <si>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</si>
  <si>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</si>
  <si>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</si>
  <si>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</si>
  <si>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</si>
  <si>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</si>
  <si>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</si>
  <si>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</si>
  <si>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</si>
  <si>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</si>
  <si>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</si>
  <si>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</si>
  <si>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</si>
  <si>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</si>
  <si>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</si>
  <si>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</si>
  <si>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</si>
  <si>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</si>
  <si>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</si>
  <si>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</si>
  <si>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</si>
  <si>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</si>
  <si>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</si>
  <si>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</si>
  <si>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</si>
  <si>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</si>
  <si>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</si>
  <si>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</si>
  <si>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</si>
  <si>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</si>
  <si>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</si>
  <si>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</si>
  <si>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</si>
  <si>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</si>
  <si>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</si>
  <si>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</si>
  <si>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</si>
  <si>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</si>
  <si>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</si>
  <si>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</si>
  <si>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</si>
  <si>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</si>
  <si>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</si>
  <si>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</si>
  <si>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</si>
  <si>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</si>
  <si>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</si>
  <si>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</si>
  <si>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</si>
  <si>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</si>
  <si>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</si>
  <si>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</si>
  <si>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</si>
  <si>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</si>
  <si>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</si>
  <si>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</si>
  <si>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</si>
  <si>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</si>
  <si>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</si>
  <si>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</si>
  <si>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</si>
  <si>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</si>
  <si>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</si>
  <si>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</si>
  <si>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</si>
  <si>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</si>
  <si>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</si>
  <si>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</si>
  <si>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</si>
  <si>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</si>
  <si>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</si>
  <si>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</si>
  <si>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</si>
  <si>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</si>
  <si>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</si>
  <si>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</si>
  <si>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</si>
  <si>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</si>
  <si>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</si>
  <si>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</si>
  <si>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</si>
  <si>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</si>
  <si>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</si>
  <si>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</si>
  <si>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</si>
  <si>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</si>
  <si>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</si>
  <si>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</si>
  <si>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</si>
  <si>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</si>
  <si>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</si>
  <si>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</si>
  <si>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</si>
  <si>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</si>
  <si>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</si>
  <si>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</si>
  <si>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</si>
  <si>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</si>
  <si>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</si>
  <si>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</si>
  <si>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</si>
  <si>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</si>
  <si>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</si>
  <si>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</si>
  <si>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</si>
  <si>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</si>
  <si>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</si>
  <si>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</si>
  <si>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</si>
  <si>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</si>
  <si>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</si>
  <si>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</si>
  <si>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</si>
  <si>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</si>
  <si>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</si>
  <si>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</si>
  <si>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</si>
  <si>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</si>
  <si>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</si>
  <si>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</si>
  <si>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</si>
  <si>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</si>
  <si>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</si>
  <si>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</si>
  <si>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</si>
  <si>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</si>
  <si>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</si>
  <si>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</si>
  <si>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</si>
  <si>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</si>
  <si>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</si>
  <si>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</si>
  <si>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</si>
  <si>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</si>
  <si>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</si>
  <si>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</si>
  <si>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ST.VINCENTS MEDICAL CENTER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</si>
  <si>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</si>
  <si>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</si>
  <si>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</si>
  <si>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</si>
  <si>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</si>
  <si>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</si>
  <si>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</si>
  <si>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</si>
  <si>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</si>
  <si>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</si>
  <si>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</si>
  <si>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</si>
  <si>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</si>
  <si>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</si>
  <si>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</si>
  <si>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</si>
  <si>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</si>
  <si>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</si>
  <si>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</si>
  <si>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</si>
  <si>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</si>
  <si>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</si>
  <si>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</si>
  <si>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</si>
  <si>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</si>
  <si>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</si>
  <si>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</si>
  <si>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</si>
  <si>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</si>
  <si>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</si>
  <si>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</si>
  <si>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</si>
  <si>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</si>
  <si>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</si>
  <si>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</si>
  <si>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</si>
  <si>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</si>
  <si>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</si>
  <si>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</si>
  <si>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</si>
  <si>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</si>
  <si>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</si>
  <si>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</si>
  <si>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</si>
  <si>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</si>
  <si>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</si>
  <si>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</si>
  <si>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</si>
  <si>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</si>
  <si>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</si>
  <si>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</si>
  <si>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</si>
  <si>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</si>
  <si>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</si>
  <si>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</si>
  <si>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</si>
  <si>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</si>
  <si>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</si>
  <si>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</si>
  <si>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</si>
  <si>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</si>
  <si>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</si>
  <si>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</si>
  <si>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</si>
  <si>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</si>
  <si>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</si>
  <si>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</si>
  <si>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</si>
  <si>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</si>
  <si>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</si>
  <si>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</si>
  <si>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</si>
  <si>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</si>
  <si>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</si>
  <si>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</si>
  <si>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</si>
  <si>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</si>
  <si>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</si>
  <si>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</si>
  <si>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</si>
  <si>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</si>
  <si>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</si>
  <si>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</si>
  <si>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</si>
  <si>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</si>
  <si>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</si>
  <si>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</si>
  <si>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</si>
  <si>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</si>
  <si>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</si>
  <si>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</si>
  <si>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</si>
  <si>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</si>
  <si>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</si>
  <si>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</si>
  <si>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</si>
  <si>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</si>
  <si>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</si>
  <si>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</si>
  <si>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</si>
  <si>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</si>
  <si>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</si>
  <si>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</si>
  <si>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</si>
  <si>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</si>
  <si>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</si>
  <si>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</si>
  <si>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</si>
  <si>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</si>
  <si>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</si>
  <si>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</si>
  <si>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</si>
  <si>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</si>
  <si>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</si>
  <si>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</si>
  <si>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</si>
  <si>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</si>
  <si>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</si>
  <si>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</si>
  <si>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</si>
  <si>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St. Vincents Medical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</si>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</sst>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529000</v>
      </c>
      <c r="D13" s="22">
        <v>1544000</v>
      </c>
      <c r="E13" s="22">
        <f t="shared" ref="E13:E22" si="0">D13-C13</f>
        <v>1015000</v>
      </c>
      <c r="F13" s="23">
        <f t="shared" ref="F13:F22" si="1">IF(C13=0,0,E13/C13)</f>
        <v>1.9187145557655954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60164000</v>
      </c>
      <c r="D15" s="22">
        <v>41712000</v>
      </c>
      <c r="E15" s="22">
        <f t="shared" si="0"/>
        <v>-18452000</v>
      </c>
      <c r="F15" s="23">
        <f t="shared" si="1"/>
        <v>-0.3066950335748953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36604000</v>
      </c>
      <c r="D17" s="22">
        <v>0</v>
      </c>
      <c r="E17" s="22">
        <f t="shared" si="0"/>
        <v>-36604000</v>
      </c>
      <c r="F17" s="23">
        <f t="shared" si="1"/>
        <v>-1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4341000</v>
      </c>
      <c r="D19" s="22">
        <v>4227000</v>
      </c>
      <c r="E19" s="22">
        <f t="shared" si="0"/>
        <v>-114000</v>
      </c>
      <c r="F19" s="23">
        <f t="shared" si="1"/>
        <v>-2.626123013130615E-2</v>
      </c>
    </row>
    <row r="20" spans="1:11" ht="24" customHeight="1" x14ac:dyDescent="0.2">
      <c r="A20" s="20">
        <v>8</v>
      </c>
      <c r="B20" s="21" t="s">
        <v>23</v>
      </c>
      <c r="C20" s="22">
        <v>3026000</v>
      </c>
      <c r="D20" s="22">
        <v>1239000</v>
      </c>
      <c r="E20" s="22">
        <f t="shared" si="0"/>
        <v>-1787000</v>
      </c>
      <c r="F20" s="23">
        <f t="shared" si="1"/>
        <v>-0.59054857898215463</v>
      </c>
    </row>
    <row r="21" spans="1:11" ht="24" customHeight="1" x14ac:dyDescent="0.2">
      <c r="A21" s="20">
        <v>9</v>
      </c>
      <c r="B21" s="21" t="s">
        <v>24</v>
      </c>
      <c r="C21" s="22">
        <v>3289000</v>
      </c>
      <c r="D21" s="22">
        <v>2637000</v>
      </c>
      <c r="E21" s="22">
        <f t="shared" si="0"/>
        <v>-652000</v>
      </c>
      <c r="F21" s="23">
        <f t="shared" si="1"/>
        <v>-0.19823654606263302</v>
      </c>
    </row>
    <row r="22" spans="1:11" ht="24" customHeight="1" x14ac:dyDescent="0.25">
      <c r="A22" s="24"/>
      <c r="B22" s="25" t="s">
        <v>25</v>
      </c>
      <c r="C22" s="26">
        <f>SUM(C13:C21)</f>
        <v>107953000</v>
      </c>
      <c r="D22" s="26">
        <f>SUM(D13:D21)</f>
        <v>51359000</v>
      </c>
      <c r="E22" s="26">
        <f t="shared" si="0"/>
        <v>-56594000</v>
      </c>
      <c r="F22" s="27">
        <f t="shared" si="1"/>
        <v>-0.52424666289959521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281000</v>
      </c>
      <c r="D28" s="22">
        <v>280000</v>
      </c>
      <c r="E28" s="22">
        <f>D28-C28</f>
        <v>-1000</v>
      </c>
      <c r="F28" s="23">
        <f>IF(C28=0,0,E28/C28)</f>
        <v>-3.5587188612099642E-3</v>
      </c>
    </row>
    <row r="29" spans="1:11" ht="24" customHeight="1" x14ac:dyDescent="0.25">
      <c r="A29" s="24"/>
      <c r="B29" s="25" t="s">
        <v>32</v>
      </c>
      <c r="C29" s="26">
        <f>SUM(C25:C28)</f>
        <v>281000</v>
      </c>
      <c r="D29" s="26">
        <f>SUM(D25:D28)</f>
        <v>280000</v>
      </c>
      <c r="E29" s="26">
        <f>D29-C29</f>
        <v>-1000</v>
      </c>
      <c r="F29" s="27">
        <f>IF(C29=0,0,E29/C29)</f>
        <v>-3.5587188612099642E-3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21792000</v>
      </c>
      <c r="D31" s="22">
        <v>21903000</v>
      </c>
      <c r="E31" s="22">
        <f>D31-C31</f>
        <v>111000</v>
      </c>
      <c r="F31" s="23">
        <f>IF(C31=0,0,E31/C31)</f>
        <v>5.0936123348017618E-3</v>
      </c>
    </row>
    <row r="32" spans="1:11" ht="24" customHeight="1" x14ac:dyDescent="0.2">
      <c r="A32" s="20">
        <v>6</v>
      </c>
      <c r="B32" s="21" t="s">
        <v>34</v>
      </c>
      <c r="C32" s="22">
        <v>283140000</v>
      </c>
      <c r="D32" s="22">
        <v>0</v>
      </c>
      <c r="E32" s="22">
        <f>D32-C32</f>
        <v>-283140000</v>
      </c>
      <c r="F32" s="23">
        <f>IF(C32=0,0,E32/C32)</f>
        <v>-1</v>
      </c>
    </row>
    <row r="33" spans="1:8" ht="24" customHeight="1" x14ac:dyDescent="0.2">
      <c r="A33" s="20">
        <v>7</v>
      </c>
      <c r="B33" s="21" t="s">
        <v>35</v>
      </c>
      <c r="C33" s="22">
        <v>35732000</v>
      </c>
      <c r="D33" s="22">
        <v>32868000</v>
      </c>
      <c r="E33" s="22">
        <f>D33-C33</f>
        <v>-2864000</v>
      </c>
      <c r="F33" s="23">
        <f>IF(C33=0,0,E33/C33)</f>
        <v>-8.0152244486734581E-2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441826000</v>
      </c>
      <c r="D36" s="22">
        <v>448140000</v>
      </c>
      <c r="E36" s="22">
        <f>D36-C36</f>
        <v>6314000</v>
      </c>
      <c r="F36" s="23">
        <f>IF(C36=0,0,E36/C36)</f>
        <v>1.4290693621470896E-2</v>
      </c>
    </row>
    <row r="37" spans="1:8" ht="24" customHeight="1" x14ac:dyDescent="0.2">
      <c r="A37" s="20">
        <v>2</v>
      </c>
      <c r="B37" s="21" t="s">
        <v>39</v>
      </c>
      <c r="C37" s="22">
        <v>276770000</v>
      </c>
      <c r="D37" s="22">
        <v>295534000</v>
      </c>
      <c r="E37" s="22">
        <f>D37-C37</f>
        <v>18764000</v>
      </c>
      <c r="F37" s="23">
        <f>IF(C37=0,0,E37/C37)</f>
        <v>6.7796365212992732E-2</v>
      </c>
    </row>
    <row r="38" spans="1:8" ht="24" customHeight="1" x14ac:dyDescent="0.25">
      <c r="A38" s="24"/>
      <c r="B38" s="25" t="s">
        <v>40</v>
      </c>
      <c r="C38" s="26">
        <f>C36-C37</f>
        <v>165056000</v>
      </c>
      <c r="D38" s="26">
        <f>D36-D37</f>
        <v>152606000</v>
      </c>
      <c r="E38" s="26">
        <f>D38-C38</f>
        <v>-12450000</v>
      </c>
      <c r="F38" s="27">
        <f>IF(C38=0,0,E38/C38)</f>
        <v>-7.5428945327646379E-2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6387000</v>
      </c>
      <c r="D40" s="22">
        <v>5473000</v>
      </c>
      <c r="E40" s="22">
        <f>D40-C40</f>
        <v>-914000</v>
      </c>
      <c r="F40" s="23">
        <f>IF(C40=0,0,E40/C40)</f>
        <v>-0.14310317833098482</v>
      </c>
    </row>
    <row r="41" spans="1:8" ht="24" customHeight="1" x14ac:dyDescent="0.25">
      <c r="A41" s="24"/>
      <c r="B41" s="25" t="s">
        <v>42</v>
      </c>
      <c r="C41" s="26">
        <f>+C38+C40</f>
        <v>171443000</v>
      </c>
      <c r="D41" s="26">
        <f>+D38+D40</f>
        <v>158079000</v>
      </c>
      <c r="E41" s="26">
        <f>D41-C41</f>
        <v>-13364000</v>
      </c>
      <c r="F41" s="27">
        <f>IF(C41=0,0,E41/C41)</f>
        <v>-7.7950105866089608E-2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620341000</v>
      </c>
      <c r="D43" s="26">
        <f>D22+D29+D31+D32+D33+D41</f>
        <v>264489000</v>
      </c>
      <c r="E43" s="26">
        <f>D43-C43</f>
        <v>-355852000</v>
      </c>
      <c r="F43" s="27">
        <f>IF(C43=0,0,E43/C43)</f>
        <v>-0.5736393370742866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16818000</v>
      </c>
      <c r="D49" s="22">
        <v>17930000</v>
      </c>
      <c r="E49" s="22">
        <f t="shared" ref="E49:E56" si="2">D49-C49</f>
        <v>1112000</v>
      </c>
      <c r="F49" s="23">
        <f t="shared" ref="F49:F56" si="3">IF(C49=0,0,E49/C49)</f>
        <v>6.6119633725770011E-2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18444000</v>
      </c>
      <c r="D50" s="22">
        <v>14407000</v>
      </c>
      <c r="E50" s="22">
        <f t="shared" si="2"/>
        <v>-4037000</v>
      </c>
      <c r="F50" s="23">
        <f t="shared" si="3"/>
        <v>-0.21887876816308827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9476000</v>
      </c>
      <c r="D51" s="22">
        <v>17909000</v>
      </c>
      <c r="E51" s="22">
        <f t="shared" si="2"/>
        <v>8433000</v>
      </c>
      <c r="F51" s="23">
        <f t="shared" si="3"/>
        <v>0.88993246095398904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1614000</v>
      </c>
      <c r="D53" s="22">
        <v>1500000</v>
      </c>
      <c r="E53" s="22">
        <f t="shared" si="2"/>
        <v>-114000</v>
      </c>
      <c r="F53" s="23">
        <f t="shared" si="3"/>
        <v>-7.0631970260223054E-2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46352000</v>
      </c>
      <c r="D56" s="26">
        <f>SUM(D49:D55)</f>
        <v>51746000</v>
      </c>
      <c r="E56" s="26">
        <f t="shared" si="2"/>
        <v>5394000</v>
      </c>
      <c r="F56" s="27">
        <f t="shared" si="3"/>
        <v>0.11637038315498792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54935000</v>
      </c>
      <c r="D59" s="22">
        <v>54346000</v>
      </c>
      <c r="E59" s="22">
        <f>D59-C59</f>
        <v>-589000</v>
      </c>
      <c r="F59" s="23">
        <f>IF(C59=0,0,E59/C59)</f>
        <v>-1.0721762082461091E-2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54935000</v>
      </c>
      <c r="D61" s="26">
        <f>SUM(D59:D60)</f>
        <v>54346000</v>
      </c>
      <c r="E61" s="26">
        <f>D61-C61</f>
        <v>-589000</v>
      </c>
      <c r="F61" s="27">
        <f>IF(C61=0,0,E61/C61)</f>
        <v>-1.0721762082461091E-2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4069000</v>
      </c>
      <c r="D63" s="22">
        <v>18198000</v>
      </c>
      <c r="E63" s="22">
        <f>D63-C63</f>
        <v>14129000</v>
      </c>
      <c r="F63" s="23">
        <f>IF(C63=0,0,E63/C63)</f>
        <v>3.4723519292209386</v>
      </c>
    </row>
    <row r="64" spans="1:6" ht="24" customHeight="1" x14ac:dyDescent="0.2">
      <c r="A64" s="20">
        <v>4</v>
      </c>
      <c r="B64" s="21" t="s">
        <v>60</v>
      </c>
      <c r="C64" s="22">
        <v>12545000</v>
      </c>
      <c r="D64" s="22">
        <v>12822000</v>
      </c>
      <c r="E64" s="22">
        <f>D64-C64</f>
        <v>277000</v>
      </c>
      <c r="F64" s="23">
        <f>IF(C64=0,0,E64/C64)</f>
        <v>2.2080510163411719E-2</v>
      </c>
    </row>
    <row r="65" spans="1:6" ht="24" customHeight="1" x14ac:dyDescent="0.25">
      <c r="A65" s="24"/>
      <c r="B65" s="25" t="s">
        <v>61</v>
      </c>
      <c r="C65" s="26">
        <f>SUM(C61:C64)</f>
        <v>71549000</v>
      </c>
      <c r="D65" s="26">
        <f>SUM(D61:D64)</f>
        <v>85366000</v>
      </c>
      <c r="E65" s="26">
        <f>D65-C65</f>
        <v>13817000</v>
      </c>
      <c r="F65" s="27">
        <f>IF(C65=0,0,E65/C65)</f>
        <v>0.19311241247257124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480367000</v>
      </c>
      <c r="D70" s="22">
        <v>157832000</v>
      </c>
      <c r="E70" s="22">
        <f>D70-C70</f>
        <v>-322535000</v>
      </c>
      <c r="F70" s="23">
        <f>IF(C70=0,0,E70/C70)</f>
        <v>-0.67143454900107624</v>
      </c>
    </row>
    <row r="71" spans="1:6" ht="24" customHeight="1" x14ac:dyDescent="0.2">
      <c r="A71" s="20">
        <v>2</v>
      </c>
      <c r="B71" s="21" t="s">
        <v>65</v>
      </c>
      <c r="C71" s="22">
        <v>12151000</v>
      </c>
      <c r="D71" s="22">
        <v>12183000</v>
      </c>
      <c r="E71" s="22">
        <f>D71-C71</f>
        <v>32000</v>
      </c>
      <c r="F71" s="23">
        <f>IF(C71=0,0,E71/C71)</f>
        <v>2.6335281046827421E-3</v>
      </c>
    </row>
    <row r="72" spans="1:6" ht="24" customHeight="1" x14ac:dyDescent="0.2">
      <c r="A72" s="20">
        <v>3</v>
      </c>
      <c r="B72" s="21" t="s">
        <v>66</v>
      </c>
      <c r="C72" s="22">
        <v>9922000</v>
      </c>
      <c r="D72" s="22">
        <v>10000000</v>
      </c>
      <c r="E72" s="22">
        <f>D72-C72</f>
        <v>78000</v>
      </c>
      <c r="F72" s="23">
        <f>IF(C72=0,0,E72/C72)</f>
        <v>7.861318282604314E-3</v>
      </c>
    </row>
    <row r="73" spans="1:6" ht="24" customHeight="1" x14ac:dyDescent="0.25">
      <c r="A73" s="20"/>
      <c r="B73" s="25" t="s">
        <v>67</v>
      </c>
      <c r="C73" s="26">
        <f>SUM(C70:C72)</f>
        <v>502440000</v>
      </c>
      <c r="D73" s="26">
        <f>SUM(D70:D72)</f>
        <v>180015000</v>
      </c>
      <c r="E73" s="26">
        <f>D73-C73</f>
        <v>-322425000</v>
      </c>
      <c r="F73" s="27">
        <f>IF(C73=0,0,E73/C73)</f>
        <v>-0.64171841413900166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620341000</v>
      </c>
      <c r="D75" s="26">
        <f>D56+D65+D67+D73</f>
        <v>317127000</v>
      </c>
      <c r="E75" s="26">
        <f>D75-C75</f>
        <v>-303214000</v>
      </c>
      <c r="F75" s="27">
        <f>IF(C75=0,0,E75/C75)</f>
        <v>-0.48878600640615405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FILING&amp;RSAINT VINCENT`S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431702000</v>
      </c>
      <c r="D11" s="76">
        <v>442387000</v>
      </c>
      <c r="E11" s="76">
        <v>457103000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48756000</v>
      </c>
      <c r="D12" s="185">
        <v>46108000</v>
      </c>
      <c r="E12" s="185">
        <v>49355000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480458000</v>
      </c>
      <c r="D13" s="76">
        <f>+D11+D12</f>
        <v>488495000</v>
      </c>
      <c r="E13" s="76">
        <f>+E11+E12</f>
        <v>506458000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464057000</v>
      </c>
      <c r="D14" s="185">
        <v>508201000</v>
      </c>
      <c r="E14" s="185">
        <v>529342000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16401000</v>
      </c>
      <c r="D15" s="76">
        <f>+D13-D14</f>
        <v>-19706000</v>
      </c>
      <c r="E15" s="76">
        <f>+E13-E14</f>
        <v>-22884000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25040000</v>
      </c>
      <c r="D16" s="185">
        <v>-13177000</v>
      </c>
      <c r="E16" s="185">
        <v>6940000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41441000</v>
      </c>
      <c r="D17" s="76">
        <f>D15+D16</f>
        <v>-32883000</v>
      </c>
      <c r="E17" s="76">
        <f>E15+E16</f>
        <v>-15944000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3.2445232226438088E-2</v>
      </c>
      <c r="D20" s="189">
        <f>IF(+D27=0,0,+D24/+D27)</f>
        <v>-4.1458560374317825E-2</v>
      </c>
      <c r="E20" s="189">
        <f>IF(+E27=0,0,+E24/+E27)</f>
        <v>-4.4573605662663274E-2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4.953530973416314E-2</v>
      </c>
      <c r="D21" s="189">
        <f>IF(+D27=0,0,+D26/+D27)</f>
        <v>-2.772249315195301E-2</v>
      </c>
      <c r="E21" s="189">
        <f>IF(+E27=0,0,+E26/+E27)</f>
        <v>1.351777763061017E-2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8.1980541960601228E-2</v>
      </c>
      <c r="D22" s="189">
        <f>IF(+D27=0,0,+D28/+D27)</f>
        <v>-6.9181053526270839E-2</v>
      </c>
      <c r="E22" s="189">
        <f>IF(+E27=0,0,+E28/+E27)</f>
        <v>-3.1055828032053104E-2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16401000</v>
      </c>
      <c r="D24" s="76">
        <f>+D15</f>
        <v>-19706000</v>
      </c>
      <c r="E24" s="76">
        <f>+E15</f>
        <v>-22884000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480458000</v>
      </c>
      <c r="D25" s="76">
        <f>+D13</f>
        <v>488495000</v>
      </c>
      <c r="E25" s="76">
        <f>+E13</f>
        <v>506458000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25040000</v>
      </c>
      <c r="D26" s="76">
        <f>+D16</f>
        <v>-13177000</v>
      </c>
      <c r="E26" s="76">
        <f>+E16</f>
        <v>6940000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505498000</v>
      </c>
      <c r="D27" s="76">
        <f>SUM(D25:D26)</f>
        <v>475318000</v>
      </c>
      <c r="E27" s="76">
        <f>SUM(E25:E26)</f>
        <v>513398000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41441000</v>
      </c>
      <c r="D28" s="76">
        <f>+D17</f>
        <v>-32883000</v>
      </c>
      <c r="E28" s="76">
        <f>+E17</f>
        <v>-15944000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596405000</v>
      </c>
      <c r="D31" s="76">
        <v>533334000</v>
      </c>
      <c r="E31" s="76">
        <v>191357000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624918000</v>
      </c>
      <c r="D32" s="76">
        <v>561618000</v>
      </c>
      <c r="E32" s="76">
        <v>219612000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28795000</v>
      </c>
      <c r="D33" s="76">
        <f>+D32-C32</f>
        <v>-63300000</v>
      </c>
      <c r="E33" s="76">
        <f>+E32-D32</f>
        <v>-342006000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1.0483</v>
      </c>
      <c r="D34" s="193">
        <f>IF(C32=0,0,+D33/C32)</f>
        <v>-0.10129328967960596</v>
      </c>
      <c r="E34" s="193">
        <f>IF(D32=0,0,+E33/D32)</f>
        <v>-0.60896552460925402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1.2910278964563962</v>
      </c>
      <c r="D38" s="338">
        <f>IF(+D40=0,0,+D39/+D40)</f>
        <v>1.5423630939013826</v>
      </c>
      <c r="E38" s="338">
        <f>IF(+E40=0,0,+E39/+E40)</f>
        <v>1.0042828086057238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92466000</v>
      </c>
      <c r="D39" s="341">
        <v>96154000</v>
      </c>
      <c r="E39" s="341">
        <v>70113000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71622000</v>
      </c>
      <c r="D40" s="341">
        <v>62342000</v>
      </c>
      <c r="E40" s="341">
        <v>69814000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2.7674704469998965</v>
      </c>
      <c r="D42" s="343">
        <f>IF((D48/365)=0,0,+D45/(D48/365))</f>
        <v>5.6476596221994191</v>
      </c>
      <c r="E42" s="343">
        <f>IF((E48/365)=0,0,+E45/(E48/365))</f>
        <v>4.8383556951412112</v>
      </c>
    </row>
    <row r="43" spans="1:14" ht="24" customHeight="1" x14ac:dyDescent="0.2">
      <c r="A43" s="339">
        <v>5</v>
      </c>
      <c r="B43" s="344" t="s">
        <v>16</v>
      </c>
      <c r="C43" s="345">
        <v>3300000</v>
      </c>
      <c r="D43" s="345">
        <v>7449000</v>
      </c>
      <c r="E43" s="345">
        <v>6656000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3300000</v>
      </c>
      <c r="D45" s="341">
        <f>+D43+D44</f>
        <v>7449000</v>
      </c>
      <c r="E45" s="341">
        <f>+E43+E44</f>
        <v>6656000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464057000</v>
      </c>
      <c r="D46" s="341">
        <f>+D14</f>
        <v>508201000</v>
      </c>
      <c r="E46" s="341">
        <f>+E14</f>
        <v>529342000</v>
      </c>
    </row>
    <row r="47" spans="1:14" ht="24" customHeight="1" x14ac:dyDescent="0.2">
      <c r="A47" s="339">
        <v>9</v>
      </c>
      <c r="B47" s="340" t="s">
        <v>356</v>
      </c>
      <c r="C47" s="341">
        <v>28822000</v>
      </c>
      <c r="D47" s="341">
        <v>26783000</v>
      </c>
      <c r="E47" s="341">
        <v>27221000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435235000</v>
      </c>
      <c r="D48" s="341">
        <f>+D46-D47</f>
        <v>481418000</v>
      </c>
      <c r="E48" s="341">
        <f>+E46-E47</f>
        <v>502121000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48.148155440558533</v>
      </c>
      <c r="D50" s="350">
        <f>IF((D55/365)=0,0,+D54/(D55/365))</f>
        <v>50.342437729860954</v>
      </c>
      <c r="E50" s="350">
        <f>IF((E55/365)=0,0,+E54/(E55/365))</f>
        <v>22.517102272354368</v>
      </c>
    </row>
    <row r="51" spans="1:5" ht="24" customHeight="1" x14ac:dyDescent="0.2">
      <c r="A51" s="339">
        <v>12</v>
      </c>
      <c r="B51" s="344" t="s">
        <v>359</v>
      </c>
      <c r="C51" s="351">
        <v>67589000</v>
      </c>
      <c r="D51" s="351">
        <v>70492000</v>
      </c>
      <c r="E51" s="351">
        <v>46108000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10642000</v>
      </c>
      <c r="D53" s="341">
        <v>9476000</v>
      </c>
      <c r="E53" s="341">
        <v>17909000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56947000</v>
      </c>
      <c r="D54" s="352">
        <f>+D51+D52-D53</f>
        <v>61016000</v>
      </c>
      <c r="E54" s="352">
        <f>+E51+E52-E53</f>
        <v>28199000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431702000</v>
      </c>
      <c r="D55" s="341">
        <f>+D11</f>
        <v>442387000</v>
      </c>
      <c r="E55" s="341">
        <f>+E11</f>
        <v>457103000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60.06417222879594</v>
      </c>
      <c r="D57" s="355">
        <f>IF((D61/365)=0,0,+D58/(D61/365))</f>
        <v>47.266263413499281</v>
      </c>
      <c r="E57" s="355">
        <f>IF((E61/365)=0,0,+E58/(E61/365))</f>
        <v>50.748942983862456</v>
      </c>
    </row>
    <row r="58" spans="1:5" ht="24" customHeight="1" x14ac:dyDescent="0.2">
      <c r="A58" s="339">
        <v>18</v>
      </c>
      <c r="B58" s="340" t="s">
        <v>54</v>
      </c>
      <c r="C58" s="353">
        <f>+C40</f>
        <v>71622000</v>
      </c>
      <c r="D58" s="353">
        <f>+D40</f>
        <v>62342000</v>
      </c>
      <c r="E58" s="353">
        <f>+E40</f>
        <v>69814000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464057000</v>
      </c>
      <c r="D59" s="353">
        <f t="shared" si="0"/>
        <v>508201000</v>
      </c>
      <c r="E59" s="353">
        <f t="shared" si="0"/>
        <v>529342000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28822000</v>
      </c>
      <c r="D60" s="356">
        <f t="shared" si="0"/>
        <v>26783000</v>
      </c>
      <c r="E60" s="356">
        <f t="shared" si="0"/>
        <v>27221000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435235000</v>
      </c>
      <c r="D61" s="353">
        <f>+D59-D60</f>
        <v>481418000</v>
      </c>
      <c r="E61" s="353">
        <f>+E59-E60</f>
        <v>502121000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80.964288120397384</v>
      </c>
      <c r="D65" s="357">
        <f>IF(D67=0,0,(D66/D67)*100)</f>
        <v>80.081504845232061</v>
      </c>
      <c r="E65" s="357">
        <f>IF(E67=0,0,(E66/E67)*100)</f>
        <v>57.372453844606476</v>
      </c>
    </row>
    <row r="66" spans="1:5" ht="24" customHeight="1" x14ac:dyDescent="0.2">
      <c r="A66" s="339">
        <v>2</v>
      </c>
      <c r="B66" s="340" t="s">
        <v>67</v>
      </c>
      <c r="C66" s="353">
        <f>+C32</f>
        <v>624918000</v>
      </c>
      <c r="D66" s="353">
        <f>+D32</f>
        <v>561618000</v>
      </c>
      <c r="E66" s="353">
        <f>+E32</f>
        <v>219612000</v>
      </c>
    </row>
    <row r="67" spans="1:5" ht="24" customHeight="1" x14ac:dyDescent="0.2">
      <c r="A67" s="339">
        <v>3</v>
      </c>
      <c r="B67" s="340" t="s">
        <v>43</v>
      </c>
      <c r="C67" s="353">
        <v>771844000</v>
      </c>
      <c r="D67" s="353">
        <v>701308000</v>
      </c>
      <c r="E67" s="353">
        <v>382783000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54.839414634146344</v>
      </c>
      <c r="D69" s="357">
        <f>IF(D75=0,0,(D72/D75)*100)</f>
        <v>-5.2013608806500846</v>
      </c>
      <c r="E69" s="357">
        <f>IF(E75=0,0,(E72/E75)*100)</f>
        <v>9.0826353092783503</v>
      </c>
    </row>
    <row r="70" spans="1:5" ht="24" customHeight="1" x14ac:dyDescent="0.2">
      <c r="A70" s="339">
        <v>5</v>
      </c>
      <c r="B70" s="340" t="s">
        <v>366</v>
      </c>
      <c r="C70" s="353">
        <f>+C28</f>
        <v>41441000</v>
      </c>
      <c r="D70" s="353">
        <f>+D28</f>
        <v>-32883000</v>
      </c>
      <c r="E70" s="353">
        <f>+E28</f>
        <v>-15944000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28822000</v>
      </c>
      <c r="D71" s="356">
        <f>+D47</f>
        <v>26783000</v>
      </c>
      <c r="E71" s="356">
        <f>+E47</f>
        <v>27221000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70263000</v>
      </c>
      <c r="D72" s="353">
        <f>+D70+D71</f>
        <v>-6100000</v>
      </c>
      <c r="E72" s="353">
        <f>+E70+E71</f>
        <v>11277000</v>
      </c>
    </row>
    <row r="73" spans="1:5" ht="24" customHeight="1" x14ac:dyDescent="0.2">
      <c r="A73" s="339">
        <v>8</v>
      </c>
      <c r="B73" s="340" t="s">
        <v>54</v>
      </c>
      <c r="C73" s="341">
        <f>+C40</f>
        <v>71622000</v>
      </c>
      <c r="D73" s="341">
        <f>+D40</f>
        <v>62342000</v>
      </c>
      <c r="E73" s="341">
        <f>+E40</f>
        <v>69814000</v>
      </c>
    </row>
    <row r="74" spans="1:5" ht="24" customHeight="1" x14ac:dyDescent="0.2">
      <c r="A74" s="339">
        <v>9</v>
      </c>
      <c r="B74" s="340" t="s">
        <v>58</v>
      </c>
      <c r="C74" s="353">
        <v>56503000</v>
      </c>
      <c r="D74" s="353">
        <v>54935000</v>
      </c>
      <c r="E74" s="353">
        <v>54346000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128125000</v>
      </c>
      <c r="D75" s="341">
        <f>+D73+D74</f>
        <v>117277000</v>
      </c>
      <c r="E75" s="341">
        <f>+E73+E74</f>
        <v>124160000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8.2919369963649494</v>
      </c>
      <c r="D77" s="359">
        <f>IF(D80=0,0,(D78/D80)*100)</f>
        <v>8.9100207119258208</v>
      </c>
      <c r="E77" s="359">
        <f>IF(E80=0,0,(E78/E80)*100)</f>
        <v>19.837347330612722</v>
      </c>
    </row>
    <row r="78" spans="1:5" ht="24" customHeight="1" x14ac:dyDescent="0.2">
      <c r="A78" s="339">
        <v>12</v>
      </c>
      <c r="B78" s="340" t="s">
        <v>58</v>
      </c>
      <c r="C78" s="341">
        <f>+C74</f>
        <v>56503000</v>
      </c>
      <c r="D78" s="341">
        <f>+D74</f>
        <v>54935000</v>
      </c>
      <c r="E78" s="341">
        <f>+E74</f>
        <v>54346000</v>
      </c>
    </row>
    <row r="79" spans="1:5" ht="24" customHeight="1" x14ac:dyDescent="0.2">
      <c r="A79" s="339">
        <v>13</v>
      </c>
      <c r="B79" s="340" t="s">
        <v>67</v>
      </c>
      <c r="C79" s="341">
        <f>+C32</f>
        <v>624918000</v>
      </c>
      <c r="D79" s="341">
        <f>+D32</f>
        <v>561618000</v>
      </c>
      <c r="E79" s="341">
        <f>+E32</f>
        <v>219612000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681421000</v>
      </c>
      <c r="D80" s="341">
        <f>+D78+D79</f>
        <v>616553000</v>
      </c>
      <c r="E80" s="341">
        <f>+E78+E79</f>
        <v>273958000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FILING&amp;R&amp;8ST.VINCENTS MEDICAL CENTER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59471</v>
      </c>
      <c r="D11" s="376">
        <v>12107</v>
      </c>
      <c r="E11" s="376">
        <v>12718</v>
      </c>
      <c r="F11" s="377">
        <v>221</v>
      </c>
      <c r="G11" s="377">
        <v>221</v>
      </c>
      <c r="H11" s="378">
        <f>IF(F11=0,0,$C11/(F11*365))</f>
        <v>0.73725903427756767</v>
      </c>
      <c r="I11" s="378">
        <f>IF(G11=0,0,$C11/(G11*365))</f>
        <v>0.73725903427756767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3718</v>
      </c>
      <c r="D13" s="376">
        <v>210</v>
      </c>
      <c r="E13" s="376">
        <v>0</v>
      </c>
      <c r="F13" s="377">
        <v>14</v>
      </c>
      <c r="G13" s="377">
        <v>14</v>
      </c>
      <c r="H13" s="378">
        <f>IF(F13=0,0,$C13/(F13*365))</f>
        <v>0.72759295499021526</v>
      </c>
      <c r="I13" s="378">
        <f>IF(G13=0,0,$C13/(G13*365))</f>
        <v>0.72759295499021526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4138</v>
      </c>
      <c r="D15" s="376">
        <v>482</v>
      </c>
      <c r="E15" s="376">
        <v>481</v>
      </c>
      <c r="F15" s="377">
        <v>17</v>
      </c>
      <c r="G15" s="377">
        <v>17</v>
      </c>
      <c r="H15" s="378">
        <f t="shared" ref="H15:I17" si="0">IF(F15=0,0,$C15/(F15*365))</f>
        <v>0.66688154713940373</v>
      </c>
      <c r="I15" s="378">
        <f t="shared" si="0"/>
        <v>0.66688154713940373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22243</v>
      </c>
      <c r="D16" s="376">
        <v>2368</v>
      </c>
      <c r="E16" s="376">
        <v>1740</v>
      </c>
      <c r="F16" s="377">
        <v>75</v>
      </c>
      <c r="G16" s="377">
        <v>75</v>
      </c>
      <c r="H16" s="378">
        <f t="shared" si="0"/>
        <v>0.81252968036529682</v>
      </c>
      <c r="I16" s="378">
        <f t="shared" si="0"/>
        <v>0.81252968036529682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26381</v>
      </c>
      <c r="D17" s="381">
        <f>SUM(D15:D16)</f>
        <v>2850</v>
      </c>
      <c r="E17" s="381">
        <f>SUM(E15:E16)</f>
        <v>2221</v>
      </c>
      <c r="F17" s="381">
        <f>SUM(F15:F16)</f>
        <v>92</v>
      </c>
      <c r="G17" s="381">
        <f>SUM(G15:G16)</f>
        <v>92</v>
      </c>
      <c r="H17" s="382">
        <f t="shared" si="0"/>
        <v>0.78561643835616435</v>
      </c>
      <c r="I17" s="382">
        <f t="shared" si="0"/>
        <v>0.78561643835616435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2897</v>
      </c>
      <c r="D19" s="376">
        <v>228</v>
      </c>
      <c r="E19" s="376">
        <v>226</v>
      </c>
      <c r="F19" s="377">
        <v>10</v>
      </c>
      <c r="G19" s="377">
        <v>10</v>
      </c>
      <c r="H19" s="378">
        <f>IF(F19=0,0,$C19/(F19*365))</f>
        <v>0.79369863013698627</v>
      </c>
      <c r="I19" s="378">
        <f>IF(G19=0,0,$C19/(G19*365))</f>
        <v>0.79369863013698627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2763</v>
      </c>
      <c r="D21" s="376">
        <v>1001</v>
      </c>
      <c r="E21" s="376">
        <v>986</v>
      </c>
      <c r="F21" s="377">
        <v>23</v>
      </c>
      <c r="G21" s="377">
        <v>23</v>
      </c>
      <c r="H21" s="378">
        <f>IF(F21=0,0,$C21/(F21*365))</f>
        <v>0.32912447885646218</v>
      </c>
      <c r="I21" s="378">
        <f>IF(G21=0,0,$C21/(G21*365))</f>
        <v>0.32912447885646218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1941</v>
      </c>
      <c r="D23" s="376">
        <v>821</v>
      </c>
      <c r="E23" s="376">
        <v>980</v>
      </c>
      <c r="F23" s="377">
        <v>20</v>
      </c>
      <c r="G23" s="377">
        <v>20</v>
      </c>
      <c r="H23" s="378">
        <f>IF(F23=0,0,$C23/(F23*365))</f>
        <v>0.26589041095890409</v>
      </c>
      <c r="I23" s="378">
        <f>IF(G23=0,0,$C23/(G23*365))</f>
        <v>0.26589041095890409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1100</v>
      </c>
      <c r="D25" s="376">
        <v>165</v>
      </c>
      <c r="E25" s="376">
        <v>0</v>
      </c>
      <c r="F25" s="377">
        <v>13</v>
      </c>
      <c r="G25" s="377">
        <v>13</v>
      </c>
      <c r="H25" s="378">
        <f>IF(F25=0,0,$C25/(F25*365))</f>
        <v>0.23182297154899895</v>
      </c>
      <c r="I25" s="378">
        <f>IF(G25=0,0,$C25/(G25*365))</f>
        <v>0.23182297154899895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96330</v>
      </c>
      <c r="D31" s="384">
        <f>SUM(D10:D29)-D13-D17-D23</f>
        <v>16351</v>
      </c>
      <c r="E31" s="384">
        <f>SUM(E10:E29)-E17-E23</f>
        <v>16151</v>
      </c>
      <c r="F31" s="384">
        <f>SUM(F10:F29)-F17-F23</f>
        <v>373</v>
      </c>
      <c r="G31" s="384">
        <f>SUM(G10:G29)-G17-G23</f>
        <v>373</v>
      </c>
      <c r="H31" s="385">
        <f>IF(F31=0,0,$C31/(F31*365))</f>
        <v>0.70755444562782333</v>
      </c>
      <c r="I31" s="385">
        <f>IF(G31=0,0,$C31/(G31*365))</f>
        <v>0.70755444562782333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98271</v>
      </c>
      <c r="D33" s="384">
        <f>SUM(D10:D29)-D13-D17</f>
        <v>17172</v>
      </c>
      <c r="E33" s="384">
        <f>SUM(E10:E29)-E17</f>
        <v>17131</v>
      </c>
      <c r="F33" s="384">
        <f>SUM(F10:F29)-F17</f>
        <v>393</v>
      </c>
      <c r="G33" s="384">
        <f>SUM(G10:G29)-G17</f>
        <v>393</v>
      </c>
      <c r="H33" s="385">
        <f>IF(F33=0,0,$C33/(F33*365))</f>
        <v>0.68507790442329808</v>
      </c>
      <c r="I33" s="385">
        <f>IF(G33=0,0,$C33/(G33*365))</f>
        <v>0.68507790442329808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98271</v>
      </c>
      <c r="D36" s="384">
        <f t="shared" si="1"/>
        <v>17172</v>
      </c>
      <c r="E36" s="384">
        <f t="shared" si="1"/>
        <v>17131</v>
      </c>
      <c r="F36" s="384">
        <f t="shared" si="1"/>
        <v>393</v>
      </c>
      <c r="G36" s="384">
        <f t="shared" si="1"/>
        <v>393</v>
      </c>
      <c r="H36" s="387">
        <f t="shared" si="1"/>
        <v>0.68507790442329808</v>
      </c>
      <c r="I36" s="387">
        <f t="shared" si="1"/>
        <v>0.68507790442329808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111145</v>
      </c>
      <c r="D37" s="384">
        <v>17782</v>
      </c>
      <c r="E37" s="384">
        <v>18299</v>
      </c>
      <c r="F37" s="386">
        <v>424</v>
      </c>
      <c r="G37" s="386">
        <v>446</v>
      </c>
      <c r="H37" s="385">
        <f>IF(F37=0,0,$C37/(F37*365))</f>
        <v>0.71817653140346338</v>
      </c>
      <c r="I37" s="385">
        <f>IF(G37=0,0,$C37/(G37*365))</f>
        <v>0.68275078321764238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-12874</v>
      </c>
      <c r="D38" s="384">
        <f t="shared" si="2"/>
        <v>-610</v>
      </c>
      <c r="E38" s="384">
        <f t="shared" si="2"/>
        <v>-1168</v>
      </c>
      <c r="F38" s="384">
        <f t="shared" si="2"/>
        <v>-31</v>
      </c>
      <c r="G38" s="384">
        <f t="shared" si="2"/>
        <v>-53</v>
      </c>
      <c r="H38" s="387">
        <f t="shared" si="2"/>
        <v>-3.3098626980165302E-2</v>
      </c>
      <c r="I38" s="387">
        <f t="shared" si="2"/>
        <v>2.3271212056557022E-3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-0.11583067164514824</v>
      </c>
      <c r="D40" s="389">
        <f t="shared" si="3"/>
        <v>-3.4304352716229898E-2</v>
      </c>
      <c r="E40" s="389">
        <f t="shared" si="3"/>
        <v>-6.382862451500082E-2</v>
      </c>
      <c r="F40" s="389">
        <f t="shared" si="3"/>
        <v>-7.3113207547169809E-2</v>
      </c>
      <c r="G40" s="389">
        <f t="shared" si="3"/>
        <v>-0.11883408071748879</v>
      </c>
      <c r="H40" s="389">
        <f t="shared" si="3"/>
        <v>-4.6087035057360948E-2</v>
      </c>
      <c r="I40" s="389">
        <f t="shared" si="3"/>
        <v>3.4084489726815578E-3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520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FILING&amp;RSAINT VINCENT`S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13040</v>
      </c>
      <c r="D12" s="409">
        <v>10582</v>
      </c>
      <c r="E12" s="409">
        <f>+D12-C12</f>
        <v>-2458</v>
      </c>
      <c r="F12" s="410">
        <f>IF(C12=0,0,+E12/C12)</f>
        <v>-0.18849693251533742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5984</v>
      </c>
      <c r="D13" s="409">
        <v>6845</v>
      </c>
      <c r="E13" s="409">
        <f>+D13-C13</f>
        <v>861</v>
      </c>
      <c r="F13" s="410">
        <f>IF(C13=0,0,+E13/C13)</f>
        <v>0.1438836898395722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14273</v>
      </c>
      <c r="D14" s="409">
        <v>16770</v>
      </c>
      <c r="E14" s="409">
        <f>+D14-C14</f>
        <v>2497</v>
      </c>
      <c r="F14" s="410">
        <f>IF(C14=0,0,+E14/C14)</f>
        <v>0.17494570167449031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33297</v>
      </c>
      <c r="D16" s="401">
        <f>SUM(D12:D15)</f>
        <v>34197</v>
      </c>
      <c r="E16" s="401">
        <f>+D16-C16</f>
        <v>900</v>
      </c>
      <c r="F16" s="402">
        <f>IF(C16=0,0,+E16/C16)</f>
        <v>2.7029462113703936E-2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1752</v>
      </c>
      <c r="D19" s="409">
        <v>1603</v>
      </c>
      <c r="E19" s="409">
        <f>+D19-C19</f>
        <v>-149</v>
      </c>
      <c r="F19" s="410">
        <f>IF(C19=0,0,+E19/C19)</f>
        <v>-8.5045662100456623E-2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1968</v>
      </c>
      <c r="D20" s="409">
        <v>1901</v>
      </c>
      <c r="E20" s="409">
        <f>+D20-C20</f>
        <v>-67</v>
      </c>
      <c r="F20" s="410">
        <f>IF(C20=0,0,+E20/C20)</f>
        <v>-3.4044715447154469E-2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207</v>
      </c>
      <c r="D21" s="409">
        <v>217</v>
      </c>
      <c r="E21" s="409">
        <f>+D21-C21</f>
        <v>10</v>
      </c>
      <c r="F21" s="410">
        <f>IF(C21=0,0,+E21/C21)</f>
        <v>4.8309178743961352E-2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3927</v>
      </c>
      <c r="D23" s="401">
        <f>SUM(D19:D22)</f>
        <v>3721</v>
      </c>
      <c r="E23" s="401">
        <f>+D23-C23</f>
        <v>-206</v>
      </c>
      <c r="F23" s="402">
        <f>IF(C23=0,0,+E23/C23)</f>
        <v>-5.2457346574993631E-2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3</v>
      </c>
      <c r="D27" s="409">
        <v>0</v>
      </c>
      <c r="E27" s="409">
        <f>+D27-C27</f>
        <v>-3</v>
      </c>
      <c r="F27" s="410">
        <f>IF(C27=0,0,+E27/C27)</f>
        <v>-1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3</v>
      </c>
      <c r="D30" s="401">
        <f>SUM(D26:D29)</f>
        <v>0</v>
      </c>
      <c r="E30" s="401">
        <f>+D30-C30</f>
        <v>-3</v>
      </c>
      <c r="F30" s="402">
        <f>IF(C30=0,0,+E30/C30)</f>
        <v>-1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13</v>
      </c>
      <c r="D33" s="409">
        <v>6</v>
      </c>
      <c r="E33" s="409">
        <f>+D33-C33</f>
        <v>-7</v>
      </c>
      <c r="F33" s="410">
        <f>IF(C33=0,0,+E33/C33)</f>
        <v>-0.53846153846153844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529</v>
      </c>
      <c r="D34" s="409">
        <v>473</v>
      </c>
      <c r="E34" s="409">
        <f>+D34-C34</f>
        <v>-56</v>
      </c>
      <c r="F34" s="410">
        <f>IF(C34=0,0,+E34/C34)</f>
        <v>-0.10586011342155009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542</v>
      </c>
      <c r="D37" s="401">
        <f>SUM(D33:D36)</f>
        <v>479</v>
      </c>
      <c r="E37" s="401">
        <f>+D37-C37</f>
        <v>-63</v>
      </c>
      <c r="F37" s="402">
        <f>IF(C37=0,0,+E37/C37)</f>
        <v>-0.11623616236162361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549</v>
      </c>
      <c r="D43" s="409">
        <v>321</v>
      </c>
      <c r="E43" s="409">
        <f>+D43-C43</f>
        <v>-228</v>
      </c>
      <c r="F43" s="410">
        <f>IF(C43=0,0,+E43/C43)</f>
        <v>-0.41530054644808745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6134</v>
      </c>
      <c r="D44" s="409">
        <v>3879</v>
      </c>
      <c r="E44" s="409">
        <f>+D44-C44</f>
        <v>-2255</v>
      </c>
      <c r="F44" s="410">
        <f>IF(C44=0,0,+E44/C44)</f>
        <v>-0.36762308444734271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6683</v>
      </c>
      <c r="D45" s="401">
        <f>SUM(D43:D44)</f>
        <v>4200</v>
      </c>
      <c r="E45" s="401">
        <f>+D45-C45</f>
        <v>-2483</v>
      </c>
      <c r="F45" s="402">
        <f>IF(C45=0,0,+E45/C45)</f>
        <v>-0.37153972766721532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685</v>
      </c>
      <c r="D48" s="409">
        <v>774</v>
      </c>
      <c r="E48" s="409">
        <f>+D48-C48</f>
        <v>89</v>
      </c>
      <c r="F48" s="410">
        <f>IF(C48=0,0,+E48/C48)</f>
        <v>0.12992700729927006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659</v>
      </c>
      <c r="D49" s="409">
        <v>672</v>
      </c>
      <c r="E49" s="409">
        <f>+D49-C49</f>
        <v>13</v>
      </c>
      <c r="F49" s="410">
        <f>IF(C49=0,0,+E49/C49)</f>
        <v>1.9726858877086494E-2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1344</v>
      </c>
      <c r="D50" s="401">
        <f>SUM(D48:D49)</f>
        <v>1446</v>
      </c>
      <c r="E50" s="401">
        <f>+D50-C50</f>
        <v>102</v>
      </c>
      <c r="F50" s="402">
        <f>IF(C50=0,0,+E50/C50)</f>
        <v>7.5892857142857137E-2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751</v>
      </c>
      <c r="D53" s="409">
        <v>388</v>
      </c>
      <c r="E53" s="409">
        <f>+D53-C53</f>
        <v>-363</v>
      </c>
      <c r="F53" s="410">
        <f>IF(C53=0,0,+E53/C53)</f>
        <v>-0.48335552596537951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494</v>
      </c>
      <c r="D54" s="409">
        <v>264</v>
      </c>
      <c r="E54" s="409">
        <f>+D54-C54</f>
        <v>-230</v>
      </c>
      <c r="F54" s="410">
        <f>IF(C54=0,0,+E54/C54)</f>
        <v>-0.46558704453441296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1245</v>
      </c>
      <c r="D55" s="401">
        <f>SUM(D53:D54)</f>
        <v>652</v>
      </c>
      <c r="E55" s="401">
        <f>+D55-C55</f>
        <v>-593</v>
      </c>
      <c r="F55" s="402">
        <f>IF(C55=0,0,+E55/C55)</f>
        <v>-0.47630522088353416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456</v>
      </c>
      <c r="D58" s="409">
        <v>677</v>
      </c>
      <c r="E58" s="409">
        <f>+D58-C58</f>
        <v>221</v>
      </c>
      <c r="F58" s="410">
        <f>IF(C58=0,0,+E58/C58)</f>
        <v>0.48464912280701755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418</v>
      </c>
      <c r="D59" s="409">
        <v>710</v>
      </c>
      <c r="E59" s="409">
        <f>+D59-C59</f>
        <v>292</v>
      </c>
      <c r="F59" s="410">
        <f>IF(C59=0,0,+E59/C59)</f>
        <v>0.69856459330143539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874</v>
      </c>
      <c r="D60" s="401">
        <f>SUM(D58:D59)</f>
        <v>1387</v>
      </c>
      <c r="E60" s="401">
        <f>SUM(E58:E59)</f>
        <v>513</v>
      </c>
      <c r="F60" s="402">
        <f>IF(C60=0,0,+E60/C60)</f>
        <v>0.58695652173913049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9713</v>
      </c>
      <c r="D63" s="409">
        <v>9762</v>
      </c>
      <c r="E63" s="409">
        <f>+D63-C63</f>
        <v>49</v>
      </c>
      <c r="F63" s="410">
        <f>IF(C63=0,0,+E63/C63)</f>
        <v>5.0447853392360754E-3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6442</v>
      </c>
      <c r="D64" s="409">
        <v>5776</v>
      </c>
      <c r="E64" s="409">
        <f>+D64-C64</f>
        <v>-666</v>
      </c>
      <c r="F64" s="410">
        <f>IF(C64=0,0,+E64/C64)</f>
        <v>-0.10338404222291214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16155</v>
      </c>
      <c r="D65" s="401">
        <f>SUM(D63:D64)</f>
        <v>15538</v>
      </c>
      <c r="E65" s="401">
        <f>+D65-C65</f>
        <v>-617</v>
      </c>
      <c r="F65" s="402">
        <f>IF(C65=0,0,+E65/C65)</f>
        <v>-3.8192510058805321E-2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1170</v>
      </c>
      <c r="D68" s="409">
        <v>1080</v>
      </c>
      <c r="E68" s="409">
        <f>+D68-C68</f>
        <v>-90</v>
      </c>
      <c r="F68" s="410">
        <f>IF(C68=0,0,+E68/C68)</f>
        <v>-7.6923076923076927E-2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3384</v>
      </c>
      <c r="D69" s="409">
        <v>3218</v>
      </c>
      <c r="E69" s="409">
        <f>+D69-C69</f>
        <v>-166</v>
      </c>
      <c r="F69" s="412">
        <f>IF(C69=0,0,+E69/C69)</f>
        <v>-4.905437352245863E-2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4554</v>
      </c>
      <c r="D70" s="401">
        <f>SUM(D68:D69)</f>
        <v>4298</v>
      </c>
      <c r="E70" s="401">
        <f>+D70-C70</f>
        <v>-256</v>
      </c>
      <c r="F70" s="402">
        <f>IF(C70=0,0,+E70/C70)</f>
        <v>-5.6214317083882304E-2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11960</v>
      </c>
      <c r="D73" s="376">
        <v>11403</v>
      </c>
      <c r="E73" s="409">
        <f>+D73-C73</f>
        <v>-557</v>
      </c>
      <c r="F73" s="410">
        <f>IF(C73=0,0,+E73/C73)</f>
        <v>-4.6571906354515052E-2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54306</v>
      </c>
      <c r="D74" s="376">
        <v>57339</v>
      </c>
      <c r="E74" s="409">
        <f>+D74-C74</f>
        <v>3033</v>
      </c>
      <c r="F74" s="410">
        <f>IF(C74=0,0,+E74/C74)</f>
        <v>5.5850182300298312E-2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66266</v>
      </c>
      <c r="D75" s="401">
        <f>SUM(D73:D74)</f>
        <v>68742</v>
      </c>
      <c r="E75" s="401">
        <f>SUM(E73:E74)</f>
        <v>2476</v>
      </c>
      <c r="F75" s="402">
        <f>IF(C75=0,0,+E75/C75)</f>
        <v>3.7364561011680196E-2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18224</v>
      </c>
      <c r="D81" s="376">
        <v>17251</v>
      </c>
      <c r="E81" s="409">
        <f t="shared" si="0"/>
        <v>-973</v>
      </c>
      <c r="F81" s="410">
        <f t="shared" si="1"/>
        <v>-5.3391132572431957E-2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23530</v>
      </c>
      <c r="D84" s="376">
        <v>0</v>
      </c>
      <c r="E84" s="409">
        <f t="shared" si="0"/>
        <v>-23530</v>
      </c>
      <c r="F84" s="410">
        <f t="shared" si="1"/>
        <v>-1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20110</v>
      </c>
      <c r="D91" s="376">
        <v>22247</v>
      </c>
      <c r="E91" s="409">
        <f t="shared" si="0"/>
        <v>2137</v>
      </c>
      <c r="F91" s="410">
        <f t="shared" si="1"/>
        <v>0.10626553953257085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61864</v>
      </c>
      <c r="D92" s="381">
        <f>SUM(D79:D91)</f>
        <v>39498</v>
      </c>
      <c r="E92" s="401">
        <f t="shared" si="0"/>
        <v>-22366</v>
      </c>
      <c r="F92" s="402">
        <f t="shared" si="1"/>
        <v>-0.36153497995603256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7156</v>
      </c>
      <c r="D95" s="414">
        <v>5453</v>
      </c>
      <c r="E95" s="415">
        <f t="shared" ref="E95:E100" si="2">+D95-C95</f>
        <v>-1703</v>
      </c>
      <c r="F95" s="412">
        <f t="shared" ref="F95:F100" si="3">IF(C95=0,0,+E95/C95)</f>
        <v>-0.23798211291224147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4722</v>
      </c>
      <c r="D96" s="414">
        <v>4684</v>
      </c>
      <c r="E96" s="409">
        <f t="shared" si="2"/>
        <v>-38</v>
      </c>
      <c r="F96" s="410">
        <f t="shared" si="3"/>
        <v>-8.0474375264718342E-3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8907</v>
      </c>
      <c r="D97" s="414">
        <v>9108</v>
      </c>
      <c r="E97" s="409">
        <f t="shared" si="2"/>
        <v>201</v>
      </c>
      <c r="F97" s="410">
        <f t="shared" si="3"/>
        <v>2.2566520714045132E-2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247</v>
      </c>
      <c r="D98" s="414">
        <v>218</v>
      </c>
      <c r="E98" s="409">
        <f t="shared" si="2"/>
        <v>-29</v>
      </c>
      <c r="F98" s="410">
        <f t="shared" si="3"/>
        <v>-0.11740890688259109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81707</v>
      </c>
      <c r="D99" s="414">
        <v>68286</v>
      </c>
      <c r="E99" s="409">
        <f t="shared" si="2"/>
        <v>-13421</v>
      </c>
      <c r="F99" s="410">
        <f t="shared" si="3"/>
        <v>-0.1642576523431285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102739</v>
      </c>
      <c r="D100" s="381">
        <f>SUM(D95:D99)</f>
        <v>87749</v>
      </c>
      <c r="E100" s="401">
        <f t="shared" si="2"/>
        <v>-14990</v>
      </c>
      <c r="F100" s="402">
        <f t="shared" si="3"/>
        <v>-0.14590369771946388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912.7</v>
      </c>
      <c r="D104" s="416">
        <v>770.1</v>
      </c>
      <c r="E104" s="417">
        <f>+D104-C104</f>
        <v>-142.60000000000002</v>
      </c>
      <c r="F104" s="410">
        <f>IF(C104=0,0,+E104/C104)</f>
        <v>-0.15623972827873345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64.400000000000006</v>
      </c>
      <c r="D105" s="416">
        <v>59</v>
      </c>
      <c r="E105" s="417">
        <f>+D105-C105</f>
        <v>-5.4000000000000057</v>
      </c>
      <c r="F105" s="410">
        <f>IF(C105=0,0,+E105/C105)</f>
        <v>-8.3850931677018709E-2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1206.4000000000001</v>
      </c>
      <c r="D106" s="416">
        <v>1019.3</v>
      </c>
      <c r="E106" s="417">
        <f>+D106-C106</f>
        <v>-187.10000000000014</v>
      </c>
      <c r="F106" s="410">
        <f>IF(C106=0,0,+E106/C106)</f>
        <v>-0.1550895225464192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2183.5</v>
      </c>
      <c r="D107" s="418">
        <f>SUM(D104:D106)</f>
        <v>1848.4</v>
      </c>
      <c r="E107" s="418">
        <f>+D107-C107</f>
        <v>-335.09999999999991</v>
      </c>
      <c r="F107" s="402">
        <f>IF(C107=0,0,+E107/C107)</f>
        <v>-0.15346920082436452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VINCENT`S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6442</v>
      </c>
      <c r="D12" s="409">
        <v>5776</v>
      </c>
      <c r="E12" s="409">
        <f>+D12-C12</f>
        <v>-666</v>
      </c>
      <c r="F12" s="410">
        <f>IF(C12=0,0,+E12/C12)</f>
        <v>-0.10338404222291214</v>
      </c>
    </row>
    <row r="13" spans="1:6" ht="15.75" customHeight="1" x14ac:dyDescent="0.25">
      <c r="A13" s="374"/>
      <c r="B13" s="399" t="s">
        <v>622</v>
      </c>
      <c r="C13" s="401">
        <f>SUM(C11:C12)</f>
        <v>6442</v>
      </c>
      <c r="D13" s="401">
        <f>SUM(D11:D12)</f>
        <v>5776</v>
      </c>
      <c r="E13" s="401">
        <f>+D13-C13</f>
        <v>-666</v>
      </c>
      <c r="F13" s="402">
        <f>IF(C13=0,0,+E13/C13)</f>
        <v>-0.10338404222291214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3384</v>
      </c>
      <c r="D16" s="409">
        <v>3218</v>
      </c>
      <c r="E16" s="409">
        <f>+D16-C16</f>
        <v>-166</v>
      </c>
      <c r="F16" s="410">
        <f>IF(C16=0,0,+E16/C16)</f>
        <v>-4.905437352245863E-2</v>
      </c>
    </row>
    <row r="17" spans="1:6" ht="15.75" customHeight="1" x14ac:dyDescent="0.25">
      <c r="A17" s="374"/>
      <c r="B17" s="399" t="s">
        <v>623</v>
      </c>
      <c r="C17" s="401">
        <f>SUM(C15:C16)</f>
        <v>3384</v>
      </c>
      <c r="D17" s="401">
        <f>SUM(D15:D16)</f>
        <v>3218</v>
      </c>
      <c r="E17" s="401">
        <f>+D17-C17</f>
        <v>-166</v>
      </c>
      <c r="F17" s="402">
        <f>IF(C17=0,0,+E17/C17)</f>
        <v>-4.905437352245863E-2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54306</v>
      </c>
      <c r="D20" s="409">
        <v>57339</v>
      </c>
      <c r="E20" s="409">
        <f>+D20-C20</f>
        <v>3033</v>
      </c>
      <c r="F20" s="410">
        <f>IF(C20=0,0,+E20/C20)</f>
        <v>5.5850182300298312E-2</v>
      </c>
    </row>
    <row r="21" spans="1:6" ht="15.75" customHeight="1" x14ac:dyDescent="0.25">
      <c r="A21" s="374"/>
      <c r="B21" s="399" t="s">
        <v>625</v>
      </c>
      <c r="C21" s="401">
        <f>SUM(C19:C20)</f>
        <v>54306</v>
      </c>
      <c r="D21" s="401">
        <f>SUM(D19:D20)</f>
        <v>57339</v>
      </c>
      <c r="E21" s="401">
        <f>+D21-C21</f>
        <v>3033</v>
      </c>
      <c r="F21" s="402">
        <f>IF(C21=0,0,+E21/C21)</f>
        <v>5.5850182300298312E-2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FILING&amp;RSAINT VINCENT`S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442950139</v>
      </c>
      <c r="D15" s="448">
        <v>457581366</v>
      </c>
      <c r="E15" s="448">
        <f t="shared" ref="E15:E24" si="0">D15-C15</f>
        <v>14631227</v>
      </c>
      <c r="F15" s="449">
        <f t="shared" ref="F15:F24" si="1">IF(C15=0,0,E15/C15)</f>
        <v>3.303131822699349E-2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102623605</v>
      </c>
      <c r="D16" s="448">
        <v>118330461</v>
      </c>
      <c r="E16" s="448">
        <f t="shared" si="0"/>
        <v>15706856</v>
      </c>
      <c r="F16" s="449">
        <f t="shared" si="1"/>
        <v>0.15305305246292994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0.23168206975097033</v>
      </c>
      <c r="D17" s="453">
        <f>IF(LN_IA1=0,0,LN_IA2/LN_IA1)</f>
        <v>0.25859982462659986</v>
      </c>
      <c r="E17" s="454">
        <f t="shared" si="0"/>
        <v>2.6917754875629529E-2</v>
      </c>
      <c r="F17" s="449">
        <f t="shared" si="1"/>
        <v>0.11618402280574754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8262</v>
      </c>
      <c r="D18" s="456">
        <v>7702</v>
      </c>
      <c r="E18" s="456">
        <f t="shared" si="0"/>
        <v>-560</v>
      </c>
      <c r="F18" s="449">
        <f t="shared" si="1"/>
        <v>-6.7780198499152747E-2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1.5427</v>
      </c>
      <c r="D19" s="459">
        <v>1.6884999999999999</v>
      </c>
      <c r="E19" s="460">
        <f t="shared" si="0"/>
        <v>0.14579999999999993</v>
      </c>
      <c r="F19" s="449">
        <f t="shared" si="1"/>
        <v>9.4509625980423895E-2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12745.787399999999</v>
      </c>
      <c r="D20" s="463">
        <f>LN_IA4*LN_IA5</f>
        <v>13004.826999999999</v>
      </c>
      <c r="E20" s="463">
        <f t="shared" si="0"/>
        <v>259.03960000000006</v>
      </c>
      <c r="F20" s="449">
        <f t="shared" si="1"/>
        <v>2.0323546272237373E-2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8051.5704349501393</v>
      </c>
      <c r="D21" s="465">
        <f>IF(LN_IA6=0,0,LN_IA2/LN_IA6)</f>
        <v>9098.9646382839237</v>
      </c>
      <c r="E21" s="465">
        <f t="shared" si="0"/>
        <v>1047.3942033337844</v>
      </c>
      <c r="F21" s="449">
        <f t="shared" si="1"/>
        <v>0.13008570337871864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55120</v>
      </c>
      <c r="D22" s="456">
        <v>49233</v>
      </c>
      <c r="E22" s="456">
        <f t="shared" si="0"/>
        <v>-5887</v>
      </c>
      <c r="F22" s="449">
        <f t="shared" si="1"/>
        <v>-0.1068033381712627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1861.8215711175617</v>
      </c>
      <c r="D23" s="465">
        <f>IF(LN_IA8=0,0,LN_IA2/LN_IA8)</f>
        <v>2403.4785814392785</v>
      </c>
      <c r="E23" s="465">
        <f t="shared" si="0"/>
        <v>541.65701032171683</v>
      </c>
      <c r="F23" s="449">
        <f t="shared" si="1"/>
        <v>0.2909285286648528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6.6715081094166058</v>
      </c>
      <c r="D24" s="466">
        <f>IF(LN_IA4=0,0,LN_IA8/LN_IA4)</f>
        <v>6.392235782913529</v>
      </c>
      <c r="E24" s="466">
        <f t="shared" si="0"/>
        <v>-0.27927232650307676</v>
      </c>
      <c r="F24" s="449">
        <f t="shared" si="1"/>
        <v>-4.1860449230196307E-2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169245131</v>
      </c>
      <c r="D27" s="448">
        <v>212099305</v>
      </c>
      <c r="E27" s="448">
        <f t="shared" ref="E27:E32" si="2">D27-C27</f>
        <v>42854174</v>
      </c>
      <c r="F27" s="449">
        <f t="shared" ref="F27:F32" si="3">IF(C27=0,0,E27/C27)</f>
        <v>0.25320772152671261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43570129</v>
      </c>
      <c r="D28" s="448">
        <v>46432423</v>
      </c>
      <c r="E28" s="448">
        <f t="shared" si="2"/>
        <v>2862294</v>
      </c>
      <c r="F28" s="449">
        <f t="shared" si="3"/>
        <v>6.569395284553782E-2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0.25743800570546399</v>
      </c>
      <c r="D29" s="453">
        <f>IF(LN_IA11=0,0,LN_IA12/LN_IA11)</f>
        <v>0.21891831753055485</v>
      </c>
      <c r="E29" s="454">
        <f t="shared" si="2"/>
        <v>-3.8519688174909139E-2</v>
      </c>
      <c r="F29" s="449">
        <f t="shared" si="3"/>
        <v>-0.14962704542925839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0.38208619006664313</v>
      </c>
      <c r="D30" s="453">
        <f>IF(LN_IA1=0,0,LN_IA11/LN_IA1)</f>
        <v>0.46352260113669053</v>
      </c>
      <c r="E30" s="454">
        <f t="shared" si="2"/>
        <v>8.1436411070047399E-2</v>
      </c>
      <c r="F30" s="449">
        <f t="shared" si="3"/>
        <v>0.2131362325758053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3156.7961023306057</v>
      </c>
      <c r="D31" s="463">
        <f>LN_IA14*LN_IA4</f>
        <v>3570.0510739547904</v>
      </c>
      <c r="E31" s="463">
        <f t="shared" si="2"/>
        <v>413.25497162418469</v>
      </c>
      <c r="F31" s="449">
        <f t="shared" si="3"/>
        <v>0.13090961792530281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13802.009248501339</v>
      </c>
      <c r="D32" s="465">
        <f>IF(LN_IA15=0,0,LN_IA12/LN_IA15)</f>
        <v>13006.094881596084</v>
      </c>
      <c r="E32" s="465">
        <f t="shared" si="2"/>
        <v>-795.91436690525552</v>
      </c>
      <c r="F32" s="449">
        <f t="shared" si="3"/>
        <v>-5.7666558004348396E-2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612195270</v>
      </c>
      <c r="D35" s="448">
        <f>LN_IA1+LN_IA11</f>
        <v>669680671</v>
      </c>
      <c r="E35" s="448">
        <f>D35-C35</f>
        <v>57485401</v>
      </c>
      <c r="F35" s="449">
        <f>IF(C35=0,0,E35/C35)</f>
        <v>9.3900433108540682E-2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146193734</v>
      </c>
      <c r="D36" s="448">
        <f>LN_IA2+LN_IA12</f>
        <v>164762884</v>
      </c>
      <c r="E36" s="448">
        <f>D36-C36</f>
        <v>18569150</v>
      </c>
      <c r="F36" s="449">
        <f>IF(C36=0,0,E36/C36)</f>
        <v>0.12701741375591377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466001536</v>
      </c>
      <c r="D37" s="448">
        <f>LN_IA17-LN_IA18</f>
        <v>504917787</v>
      </c>
      <c r="E37" s="448">
        <f>D37-C37</f>
        <v>38916251</v>
      </c>
      <c r="F37" s="449">
        <f>IF(C37=0,0,E37/C37)</f>
        <v>8.3510992976641177E-2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217174512</v>
      </c>
      <c r="D42" s="448">
        <v>203993309</v>
      </c>
      <c r="E42" s="448">
        <f t="shared" ref="E42:E53" si="4">D42-C42</f>
        <v>-13181203</v>
      </c>
      <c r="F42" s="449">
        <f t="shared" ref="F42:F53" si="5">IF(C42=0,0,E42/C42)</f>
        <v>-6.0694060636360493E-2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100502649</v>
      </c>
      <c r="D43" s="448">
        <v>76906975</v>
      </c>
      <c r="E43" s="448">
        <f t="shared" si="4"/>
        <v>-23595674</v>
      </c>
      <c r="F43" s="449">
        <f t="shared" si="5"/>
        <v>-0.23477663757897566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0.46277368404999569</v>
      </c>
      <c r="D44" s="453">
        <f>IF(LN_IB1=0,0,LN_IB2/LN_IB1)</f>
        <v>0.37700734096136457</v>
      </c>
      <c r="E44" s="454">
        <f t="shared" si="4"/>
        <v>-8.5766343088631125E-2</v>
      </c>
      <c r="F44" s="449">
        <f t="shared" si="5"/>
        <v>-0.18533107228146831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5278</v>
      </c>
      <c r="D45" s="456">
        <v>4936</v>
      </c>
      <c r="E45" s="456">
        <f t="shared" si="4"/>
        <v>-342</v>
      </c>
      <c r="F45" s="449">
        <f t="shared" si="5"/>
        <v>-6.4797271693823419E-2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1.4165000000000001</v>
      </c>
      <c r="D46" s="459">
        <v>1.3996</v>
      </c>
      <c r="E46" s="460">
        <f t="shared" si="4"/>
        <v>-1.6900000000000137E-2</v>
      </c>
      <c r="F46" s="449">
        <f t="shared" si="5"/>
        <v>-1.1930815390045984E-2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7476.2870000000003</v>
      </c>
      <c r="D47" s="463">
        <f>LN_IB4*LN_IB5</f>
        <v>6908.4255999999996</v>
      </c>
      <c r="E47" s="463">
        <f t="shared" si="4"/>
        <v>-567.86140000000069</v>
      </c>
      <c r="F47" s="449">
        <f t="shared" si="5"/>
        <v>-7.5955002797511745E-2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13442.855925675405</v>
      </c>
      <c r="D48" s="465">
        <f>IF(LN_IB6=0,0,LN_IB2/LN_IB6)</f>
        <v>11132.344683570162</v>
      </c>
      <c r="E48" s="465">
        <f t="shared" si="4"/>
        <v>-2310.5112421052436</v>
      </c>
      <c r="F48" s="449">
        <f t="shared" si="5"/>
        <v>-0.17187651603795323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-5391.2854907252658</v>
      </c>
      <c r="D49" s="465">
        <f>LN_IA7-LN_IB7</f>
        <v>-2033.3800452862379</v>
      </c>
      <c r="E49" s="465">
        <f t="shared" si="4"/>
        <v>3357.905445439028</v>
      </c>
      <c r="F49" s="449">
        <f t="shared" si="5"/>
        <v>-0.62283947886189639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-40306797.627597928</v>
      </c>
      <c r="D50" s="479">
        <f>LN_IB8*LN_IB6</f>
        <v>-14047454.759384604</v>
      </c>
      <c r="E50" s="479">
        <f t="shared" si="4"/>
        <v>26259342.868213326</v>
      </c>
      <c r="F50" s="449">
        <f t="shared" si="5"/>
        <v>-0.65148670730005209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25540</v>
      </c>
      <c r="D51" s="456">
        <v>22596</v>
      </c>
      <c r="E51" s="456">
        <f t="shared" si="4"/>
        <v>-2944</v>
      </c>
      <c r="F51" s="449">
        <f t="shared" si="5"/>
        <v>-0.11527016444792483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3935.1076350822241</v>
      </c>
      <c r="D52" s="465">
        <f>IF(LN_IB10=0,0,LN_IB2/LN_IB10)</f>
        <v>3403.5658966188707</v>
      </c>
      <c r="E52" s="465">
        <f t="shared" si="4"/>
        <v>-531.54173846335334</v>
      </c>
      <c r="F52" s="449">
        <f t="shared" si="5"/>
        <v>-0.13507679783001583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4.8389541492989769</v>
      </c>
      <c r="D53" s="466">
        <f>IF(LN_IB4=0,0,LN_IB10/LN_IB4)</f>
        <v>4.5777957860615883</v>
      </c>
      <c r="E53" s="466">
        <f t="shared" si="4"/>
        <v>-0.26115836323738861</v>
      </c>
      <c r="F53" s="449">
        <f t="shared" si="5"/>
        <v>-5.397000161186128E-2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189860192</v>
      </c>
      <c r="D56" s="448">
        <v>215032032</v>
      </c>
      <c r="E56" s="448">
        <f t="shared" ref="E56:E63" si="6">D56-C56</f>
        <v>25171840</v>
      </c>
      <c r="F56" s="449">
        <f t="shared" ref="F56:F63" si="7">IF(C56=0,0,E56/C56)</f>
        <v>0.13258092565291413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82668755</v>
      </c>
      <c r="D57" s="448">
        <v>83506835</v>
      </c>
      <c r="E57" s="448">
        <f t="shared" si="6"/>
        <v>838080</v>
      </c>
      <c r="F57" s="449">
        <f t="shared" si="7"/>
        <v>1.0137808413831804E-2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0.43541910565433328</v>
      </c>
      <c r="D58" s="453">
        <f>IF(LN_IB13=0,0,LN_IB14/LN_IB13)</f>
        <v>0.38834602558190029</v>
      </c>
      <c r="E58" s="454">
        <f t="shared" si="6"/>
        <v>-4.7073080072432993E-2</v>
      </c>
      <c r="F58" s="449">
        <f t="shared" si="7"/>
        <v>-0.10810981755541742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0.87422870322830515</v>
      </c>
      <c r="D59" s="453">
        <f>IF(LN_IB1=0,0,LN_IB13/LN_IB1)</f>
        <v>1.0541131621135671</v>
      </c>
      <c r="E59" s="454">
        <f t="shared" si="6"/>
        <v>0.17988445888526194</v>
      </c>
      <c r="F59" s="449">
        <f t="shared" si="7"/>
        <v>0.2057636156545698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4614.179095638995</v>
      </c>
      <c r="D60" s="463">
        <f>LN_IB16*LN_IB4</f>
        <v>5203.1025681925676</v>
      </c>
      <c r="E60" s="463">
        <f t="shared" si="6"/>
        <v>588.92347255357254</v>
      </c>
      <c r="F60" s="449">
        <f t="shared" si="7"/>
        <v>0.12763342305247374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17916.243233413465</v>
      </c>
      <c r="D61" s="465">
        <f>IF(LN_IB17=0,0,LN_IB14/LN_IB17)</f>
        <v>16049.430874280893</v>
      </c>
      <c r="E61" s="465">
        <f t="shared" si="6"/>
        <v>-1866.8123591325711</v>
      </c>
      <c r="F61" s="449">
        <f t="shared" si="7"/>
        <v>-0.10419664071377421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-4114.2339849121254</v>
      </c>
      <c r="D62" s="465">
        <f>LN_IA16-LN_IB18</f>
        <v>-3043.3359926848098</v>
      </c>
      <c r="E62" s="465">
        <f t="shared" si="6"/>
        <v>1070.8979922273156</v>
      </c>
      <c r="F62" s="449">
        <f t="shared" si="7"/>
        <v>-0.26029097911167748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-18983812.447749048</v>
      </c>
      <c r="D63" s="448">
        <f>LN_IB19*LN_IB17</f>
        <v>-15834789.319411211</v>
      </c>
      <c r="E63" s="448">
        <f t="shared" si="6"/>
        <v>3149023.1283378378</v>
      </c>
      <c r="F63" s="449">
        <f t="shared" si="7"/>
        <v>-0.16587938471290703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407034704</v>
      </c>
      <c r="D66" s="448">
        <f>LN_IB1+LN_IB13</f>
        <v>419025341</v>
      </c>
      <c r="E66" s="448">
        <f>D66-C66</f>
        <v>11990637</v>
      </c>
      <c r="F66" s="449">
        <f>IF(C66=0,0,E66/C66)</f>
        <v>2.9458512707063917E-2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183171404</v>
      </c>
      <c r="D67" s="448">
        <f>LN_IB2+LN_IB14</f>
        <v>160413810</v>
      </c>
      <c r="E67" s="448">
        <f>D67-C67</f>
        <v>-22757594</v>
      </c>
      <c r="F67" s="449">
        <f>IF(C67=0,0,E67/C67)</f>
        <v>-0.12424206782844772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223863300</v>
      </c>
      <c r="D68" s="448">
        <f>LN_IB21-LN_IB22</f>
        <v>258611531</v>
      </c>
      <c r="E68" s="448">
        <f>D68-C68</f>
        <v>34748231</v>
      </c>
      <c r="F68" s="449">
        <f>IF(C68=0,0,E68/C68)</f>
        <v>0.15522075748905695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-59290610.075346977</v>
      </c>
      <c r="D70" s="441">
        <f>LN_IB9+LN_IB20</f>
        <v>-29882244.078795813</v>
      </c>
      <c r="E70" s="448">
        <f>D70-C70</f>
        <v>29408365.996551163</v>
      </c>
      <c r="F70" s="449">
        <f>IF(C70=0,0,E70/C70)</f>
        <v>-0.496003767867775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344004037</v>
      </c>
      <c r="D73" s="488">
        <v>357664622</v>
      </c>
      <c r="E73" s="488">
        <f>D73-C73</f>
        <v>13660585</v>
      </c>
      <c r="F73" s="489">
        <f>IF(C73=0,0,E73/C73)</f>
        <v>3.9710536885356376E-2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165093192</v>
      </c>
      <c r="D74" s="488">
        <v>142684535</v>
      </c>
      <c r="E74" s="488">
        <f>D74-C74</f>
        <v>-22408657</v>
      </c>
      <c r="F74" s="489">
        <f>IF(C74=0,0,E74/C74)</f>
        <v>-0.13573338021109921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178910845</v>
      </c>
      <c r="D76" s="441">
        <f>LN_IB32-LN_IB33</f>
        <v>214980087</v>
      </c>
      <c r="E76" s="488">
        <f>D76-C76</f>
        <v>36069242</v>
      </c>
      <c r="F76" s="489">
        <f>IF(E76=0,0,E76/C76)</f>
        <v>0.20160455896343232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0.52008356227517183</v>
      </c>
      <c r="D77" s="453">
        <f>IF(LN_IB32=0,0,LN_IB34/LN_IB32)</f>
        <v>0.60106612109933533</v>
      </c>
      <c r="E77" s="493">
        <f>D77-C77</f>
        <v>8.0982558824163497E-2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21828716</v>
      </c>
      <c r="D83" s="448">
        <v>14813788</v>
      </c>
      <c r="E83" s="448">
        <f t="shared" ref="E83:E95" si="8">D83-C83</f>
        <v>-7014928</v>
      </c>
      <c r="F83" s="449">
        <f t="shared" ref="F83:F95" si="9">IF(C83=0,0,E83/C83)</f>
        <v>-0.32136237422301889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2711717</v>
      </c>
      <c r="D84" s="448">
        <v>3001319</v>
      </c>
      <c r="E84" s="448">
        <f t="shared" si="8"/>
        <v>289602</v>
      </c>
      <c r="F84" s="449">
        <f t="shared" si="9"/>
        <v>0.1067965425595665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0.12422705027634241</v>
      </c>
      <c r="D85" s="453">
        <f>IF(LN_IC1=0,0,LN_IC2/LN_IC1)</f>
        <v>0.20260307491912263</v>
      </c>
      <c r="E85" s="454">
        <f t="shared" si="8"/>
        <v>7.837602464278022E-2</v>
      </c>
      <c r="F85" s="449">
        <f t="shared" si="9"/>
        <v>0.63090948765533084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521</v>
      </c>
      <c r="D86" s="456">
        <v>433</v>
      </c>
      <c r="E86" s="456">
        <f t="shared" si="8"/>
        <v>-88</v>
      </c>
      <c r="F86" s="449">
        <f t="shared" si="9"/>
        <v>-0.16890595009596929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1.2241</v>
      </c>
      <c r="D87" s="459">
        <v>1.3635999999999999</v>
      </c>
      <c r="E87" s="460">
        <f t="shared" si="8"/>
        <v>0.13949999999999996</v>
      </c>
      <c r="F87" s="449">
        <f t="shared" si="9"/>
        <v>0.11396127767339266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637.75609999999995</v>
      </c>
      <c r="D88" s="463">
        <f>LN_IC4*LN_IC5</f>
        <v>590.43880000000001</v>
      </c>
      <c r="E88" s="463">
        <f t="shared" si="8"/>
        <v>-47.317299999999932</v>
      </c>
      <c r="F88" s="449">
        <f t="shared" si="9"/>
        <v>-7.4193410302151458E-2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4251.9656025242257</v>
      </c>
      <c r="D89" s="465">
        <f>IF(LN_IC6=0,0,LN_IC2/LN_IC6)</f>
        <v>5083.2008330075869</v>
      </c>
      <c r="E89" s="465">
        <f t="shared" si="8"/>
        <v>831.23523048336119</v>
      </c>
      <c r="F89" s="449">
        <f t="shared" si="9"/>
        <v>0.19549434501301924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9190.8903231511795</v>
      </c>
      <c r="D90" s="465">
        <f>LN_IB7-LN_IC7</f>
        <v>6049.1438505625747</v>
      </c>
      <c r="E90" s="465">
        <f t="shared" si="8"/>
        <v>-3141.7464725886048</v>
      </c>
      <c r="F90" s="449">
        <f t="shared" si="9"/>
        <v>-0.34183265843949584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3799.6048324259136</v>
      </c>
      <c r="D91" s="465">
        <f>LN_IA7-LN_IC7</f>
        <v>4015.7638052763368</v>
      </c>
      <c r="E91" s="465">
        <f t="shared" si="8"/>
        <v>216.1589728504232</v>
      </c>
      <c r="F91" s="449">
        <f t="shared" si="9"/>
        <v>5.6889856283400216E-2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2423221.1594691039</v>
      </c>
      <c r="D92" s="441">
        <f>LN_IC9*LN_IC6</f>
        <v>2371062.7622707943</v>
      </c>
      <c r="E92" s="441">
        <f t="shared" si="8"/>
        <v>-52158.397198309656</v>
      </c>
      <c r="F92" s="449">
        <f t="shared" si="9"/>
        <v>-2.1524406468015855E-2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2357</v>
      </c>
      <c r="D93" s="456">
        <v>2448</v>
      </c>
      <c r="E93" s="456">
        <f t="shared" si="8"/>
        <v>91</v>
      </c>
      <c r="F93" s="449">
        <f t="shared" si="9"/>
        <v>3.8608400509121767E-2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1150.4951209164192</v>
      </c>
      <c r="D94" s="499">
        <f>IF(LN_IC11=0,0,LN_IC2/LN_IC11)</f>
        <v>1226.0290032679738</v>
      </c>
      <c r="E94" s="499">
        <f t="shared" si="8"/>
        <v>75.533882351554666</v>
      </c>
      <c r="F94" s="449">
        <f t="shared" si="9"/>
        <v>6.5653370430105482E-2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4.5239923224568139</v>
      </c>
      <c r="D95" s="466">
        <f>IF(LN_IC4=0,0,LN_IC11/LN_IC4)</f>
        <v>5.6535796766743651</v>
      </c>
      <c r="E95" s="466">
        <f t="shared" si="8"/>
        <v>1.1295873542175512</v>
      </c>
      <c r="F95" s="449">
        <f t="shared" si="9"/>
        <v>0.24968816781813499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29623086</v>
      </c>
      <c r="D98" s="448">
        <v>33013706</v>
      </c>
      <c r="E98" s="448">
        <f t="shared" ref="E98:E106" si="10">D98-C98</f>
        <v>3390620</v>
      </c>
      <c r="F98" s="449">
        <f t="shared" ref="F98:F106" si="11">IF(C98=0,0,E98/C98)</f>
        <v>0.11445870291839277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6483695</v>
      </c>
      <c r="D99" s="448">
        <v>8600270</v>
      </c>
      <c r="E99" s="448">
        <f t="shared" si="10"/>
        <v>2116575</v>
      </c>
      <c r="F99" s="449">
        <f t="shared" si="11"/>
        <v>0.3264457998101391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0.21887304381454384</v>
      </c>
      <c r="D100" s="453">
        <f>IF(LN_IC14=0,0,LN_IC15/LN_IC14)</f>
        <v>0.2605060455799782</v>
      </c>
      <c r="E100" s="454">
        <f t="shared" si="10"/>
        <v>4.1633001765434358E-2</v>
      </c>
      <c r="F100" s="449">
        <f t="shared" si="11"/>
        <v>0.19021530033963871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1.3570695591989927</v>
      </c>
      <c r="D101" s="453">
        <f>IF(LN_IC1=0,0,LN_IC14/LN_IC1)</f>
        <v>2.2285796178533133</v>
      </c>
      <c r="E101" s="454">
        <f t="shared" si="10"/>
        <v>0.87151005865432052</v>
      </c>
      <c r="F101" s="449">
        <f t="shared" si="11"/>
        <v>0.64219999096341629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707.03324034267519</v>
      </c>
      <c r="D102" s="463">
        <f>LN_IC17*LN_IC4</f>
        <v>964.97497453048459</v>
      </c>
      <c r="E102" s="463">
        <f t="shared" si="10"/>
        <v>257.9417341878094</v>
      </c>
      <c r="F102" s="449">
        <f t="shared" si="11"/>
        <v>0.3648226412421483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9170.2831352845187</v>
      </c>
      <c r="D103" s="465">
        <f>IF(LN_IC18=0,0,LN_IC15/LN_IC18)</f>
        <v>8912.428018337494</v>
      </c>
      <c r="E103" s="465">
        <f t="shared" si="10"/>
        <v>-257.85511694702473</v>
      </c>
      <c r="F103" s="449">
        <f t="shared" si="11"/>
        <v>-2.8118555680671956E-2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8745.9600981289459</v>
      </c>
      <c r="D104" s="465">
        <f>LN_IB18-LN_IC19</f>
        <v>7137.0028559433995</v>
      </c>
      <c r="E104" s="465">
        <f t="shared" si="10"/>
        <v>-1608.9572421855464</v>
      </c>
      <c r="F104" s="449">
        <f t="shared" si="11"/>
        <v>-0.18396576523711289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4631.7261132168205</v>
      </c>
      <c r="D105" s="465">
        <f>LN_IA16-LN_IC19</f>
        <v>4093.6668632585897</v>
      </c>
      <c r="E105" s="465">
        <f t="shared" si="10"/>
        <v>-538.05924995823079</v>
      </c>
      <c r="F105" s="449">
        <f t="shared" si="11"/>
        <v>-0.1161681923339242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3274784.3222074732</v>
      </c>
      <c r="D106" s="448">
        <f>LN_IC21*LN_IC18</f>
        <v>3950286.0771092465</v>
      </c>
      <c r="E106" s="448">
        <f t="shared" si="10"/>
        <v>675501.7549017733</v>
      </c>
      <c r="F106" s="449">
        <f t="shared" si="11"/>
        <v>0.20627366215263596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51451802</v>
      </c>
      <c r="D109" s="448">
        <f>LN_IC1+LN_IC14</f>
        <v>47827494</v>
      </c>
      <c r="E109" s="448">
        <f>D109-C109</f>
        <v>-3624308</v>
      </c>
      <c r="F109" s="449">
        <f>IF(C109=0,0,E109/C109)</f>
        <v>-7.0440837038127452E-2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9195412</v>
      </c>
      <c r="D110" s="448">
        <f>LN_IC2+LN_IC15</f>
        <v>11601589</v>
      </c>
      <c r="E110" s="448">
        <f>D110-C110</f>
        <v>2406177</v>
      </c>
      <c r="F110" s="449">
        <f>IF(C110=0,0,E110/C110)</f>
        <v>0.2616714726865963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42256390</v>
      </c>
      <c r="D111" s="448">
        <f>LN_IC23-LN_IC24</f>
        <v>36225905</v>
      </c>
      <c r="E111" s="448">
        <f>D111-C111</f>
        <v>-6030485</v>
      </c>
      <c r="F111" s="449">
        <f>IF(C111=0,0,E111/C111)</f>
        <v>-0.14271178867858803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5698005.4816765767</v>
      </c>
      <c r="D113" s="448">
        <f>LN_IC10+LN_IC22</f>
        <v>6321348.8393800408</v>
      </c>
      <c r="E113" s="448">
        <f>D113-C113</f>
        <v>623343.35770346411</v>
      </c>
      <c r="F113" s="449">
        <f>IF(C113=0,0,E113/C113)</f>
        <v>0.1093967634302893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161366399</v>
      </c>
      <c r="D118" s="448">
        <v>170360914</v>
      </c>
      <c r="E118" s="448">
        <f t="shared" ref="E118:E130" si="12">D118-C118</f>
        <v>8994515</v>
      </c>
      <c r="F118" s="449">
        <f t="shared" ref="F118:F130" si="13">IF(C118=0,0,E118/C118)</f>
        <v>5.5739702042926546E-2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32466881</v>
      </c>
      <c r="D119" s="448">
        <v>37313514</v>
      </c>
      <c r="E119" s="448">
        <f t="shared" si="12"/>
        <v>4846633</v>
      </c>
      <c r="F119" s="449">
        <f t="shared" si="13"/>
        <v>0.14927929171884419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0.2011997615439135</v>
      </c>
      <c r="D120" s="453">
        <f>IF(LN_ID1=0,0,LN_1D2/LN_ID1)</f>
        <v>0.21902626091804134</v>
      </c>
      <c r="E120" s="454">
        <f t="shared" si="12"/>
        <v>1.7826499374127835E-2</v>
      </c>
      <c r="F120" s="449">
        <f t="shared" si="13"/>
        <v>8.8600996528701431E-2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4699</v>
      </c>
      <c r="D121" s="456">
        <v>4455</v>
      </c>
      <c r="E121" s="456">
        <f t="shared" si="12"/>
        <v>-244</v>
      </c>
      <c r="F121" s="449">
        <f t="shared" si="13"/>
        <v>-5.1925941689721214E-2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1.1379999999999999</v>
      </c>
      <c r="D122" s="459">
        <v>1.1447000000000001</v>
      </c>
      <c r="E122" s="460">
        <f t="shared" si="12"/>
        <v>6.7000000000001503E-3</v>
      </c>
      <c r="F122" s="449">
        <f t="shared" si="13"/>
        <v>5.887521968365686E-3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5347.4619999999995</v>
      </c>
      <c r="D123" s="463">
        <f>LN_ID4*LN_ID5</f>
        <v>5099.6385</v>
      </c>
      <c r="E123" s="463">
        <f t="shared" si="12"/>
        <v>-247.82349999999951</v>
      </c>
      <c r="F123" s="449">
        <f t="shared" si="13"/>
        <v>-4.634413484378188E-2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6071.4561412498124</v>
      </c>
      <c r="D124" s="465">
        <f>IF(LN_ID6=0,0,LN_1D2/LN_ID6)</f>
        <v>7316.8939327758235</v>
      </c>
      <c r="E124" s="465">
        <f t="shared" si="12"/>
        <v>1245.4377915260111</v>
      </c>
      <c r="F124" s="449">
        <f t="shared" si="13"/>
        <v>0.20512999889177114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7371.3997844255928</v>
      </c>
      <c r="D125" s="465">
        <f>LN_IB7-LN_ID7</f>
        <v>3815.4507507943381</v>
      </c>
      <c r="E125" s="465">
        <f t="shared" si="12"/>
        <v>-3555.9490336312547</v>
      </c>
      <c r="F125" s="449">
        <f t="shared" si="13"/>
        <v>-0.48239807060041956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1980.1142937003269</v>
      </c>
      <c r="D126" s="465">
        <f>LN_IA7-LN_ID7</f>
        <v>1782.0707055081002</v>
      </c>
      <c r="E126" s="465">
        <f t="shared" si="12"/>
        <v>-198.04358819222671</v>
      </c>
      <c r="F126" s="449">
        <f t="shared" si="13"/>
        <v>-0.1000162408919002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10588585.941219337</v>
      </c>
      <c r="D127" s="479">
        <f>LN_ID9*LN_ID6</f>
        <v>9087916.3795312699</v>
      </c>
      <c r="E127" s="479">
        <f t="shared" si="12"/>
        <v>-1500669.5616880674</v>
      </c>
      <c r="F127" s="449">
        <f t="shared" si="13"/>
        <v>-0.14172520958121973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30133</v>
      </c>
      <c r="D128" s="456">
        <v>26069</v>
      </c>
      <c r="E128" s="456">
        <f t="shared" si="12"/>
        <v>-4064</v>
      </c>
      <c r="F128" s="449">
        <f t="shared" si="13"/>
        <v>-0.13486874854810341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1077.452659874556</v>
      </c>
      <c r="D129" s="465">
        <f>IF(LN_ID11=0,0,LN_1D2/LN_ID11)</f>
        <v>1431.3366066976103</v>
      </c>
      <c r="E129" s="465">
        <f t="shared" si="12"/>
        <v>353.8839468230542</v>
      </c>
      <c r="F129" s="449">
        <f t="shared" si="13"/>
        <v>0.32844500737903015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6.4126409874441368</v>
      </c>
      <c r="D130" s="466">
        <f>IF(LN_ID4=0,0,LN_ID11/LN_ID4)</f>
        <v>5.8516273849607181</v>
      </c>
      <c r="E130" s="466">
        <f t="shared" si="12"/>
        <v>-0.56101360248341869</v>
      </c>
      <c r="F130" s="449">
        <f t="shared" si="13"/>
        <v>-8.7485577873745876E-2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121007554</v>
      </c>
      <c r="D133" s="448">
        <v>137599379</v>
      </c>
      <c r="E133" s="448">
        <f t="shared" ref="E133:E141" si="14">D133-C133</f>
        <v>16591825</v>
      </c>
      <c r="F133" s="449">
        <f t="shared" ref="F133:F141" si="15">IF(C133=0,0,E133/C133)</f>
        <v>0.13711396067058756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30325692</v>
      </c>
      <c r="D134" s="448">
        <v>37041345</v>
      </c>
      <c r="E134" s="448">
        <f t="shared" si="14"/>
        <v>6715653</v>
      </c>
      <c r="F134" s="449">
        <f t="shared" si="15"/>
        <v>0.22145094001482307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0.25060990820457374</v>
      </c>
      <c r="D135" s="453">
        <f>IF(LN_ID14=0,0,LN_ID15/LN_ID14)</f>
        <v>0.26919703612906565</v>
      </c>
      <c r="E135" s="454">
        <f t="shared" si="14"/>
        <v>1.8587127924491909E-2</v>
      </c>
      <c r="F135" s="449">
        <f t="shared" si="15"/>
        <v>7.416757005999608E-2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0.74989312985784606</v>
      </c>
      <c r="D136" s="453">
        <f>IF(LN_ID1=0,0,LN_ID14/LN_ID1)</f>
        <v>0.80769335975739132</v>
      </c>
      <c r="E136" s="454">
        <f t="shared" si="14"/>
        <v>5.7800229899545252E-2</v>
      </c>
      <c r="F136" s="449">
        <f t="shared" si="15"/>
        <v>7.7077956308923889E-2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3523.7478172020187</v>
      </c>
      <c r="D137" s="463">
        <f>LN_ID17*LN_ID4</f>
        <v>3598.2739177191784</v>
      </c>
      <c r="E137" s="463">
        <f t="shared" si="14"/>
        <v>74.526100517159648</v>
      </c>
      <c r="F137" s="449">
        <f t="shared" si="15"/>
        <v>2.1149669154342614E-2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8606.0903257485879</v>
      </c>
      <c r="D138" s="465">
        <f>IF(LN_ID18=0,0,LN_ID15/LN_ID18)</f>
        <v>10294.19823143404</v>
      </c>
      <c r="E138" s="465">
        <f t="shared" si="14"/>
        <v>1688.1079056854524</v>
      </c>
      <c r="F138" s="449">
        <f t="shared" si="15"/>
        <v>0.19615270602433688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9310.1529076648767</v>
      </c>
      <c r="D139" s="465">
        <f>LN_IB18-LN_ID19</f>
        <v>5755.2326428468532</v>
      </c>
      <c r="E139" s="465">
        <f t="shared" si="14"/>
        <v>-3554.9202648180235</v>
      </c>
      <c r="F139" s="449">
        <f t="shared" si="15"/>
        <v>-0.38183264013755602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5195.9189227527513</v>
      </c>
      <c r="D140" s="465">
        <f>LN_IA16-LN_ID19</f>
        <v>2711.8966501620434</v>
      </c>
      <c r="E140" s="465">
        <f t="shared" si="14"/>
        <v>-2484.0222725907079</v>
      </c>
      <c r="F140" s="449">
        <f t="shared" si="15"/>
        <v>-0.47807179240485437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18309107.962408673</v>
      </c>
      <c r="D141" s="441">
        <f>LN_ID21*LN_ID18</f>
        <v>9758146.983828092</v>
      </c>
      <c r="E141" s="441">
        <f t="shared" si="14"/>
        <v>-8550960.978580581</v>
      </c>
      <c r="F141" s="449">
        <f t="shared" si="15"/>
        <v>-0.46703318349189804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282373953</v>
      </c>
      <c r="D144" s="448">
        <f>LN_ID1+LN_ID14</f>
        <v>307960293</v>
      </c>
      <c r="E144" s="448">
        <f>D144-C144</f>
        <v>25586340</v>
      </c>
      <c r="F144" s="449">
        <f>IF(C144=0,0,E144/C144)</f>
        <v>9.0611544472021466E-2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62792573</v>
      </c>
      <c r="D145" s="448">
        <f>LN_1D2+LN_ID15</f>
        <v>74354859</v>
      </c>
      <c r="E145" s="448">
        <f>D145-C145</f>
        <v>11562286</v>
      </c>
      <c r="F145" s="449">
        <f>IF(C145=0,0,E145/C145)</f>
        <v>0.18413461095152128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219581380</v>
      </c>
      <c r="D146" s="448">
        <f>LN_ID23-LN_ID24</f>
        <v>233605434</v>
      </c>
      <c r="E146" s="448">
        <f>D146-C146</f>
        <v>14024054</v>
      </c>
      <c r="F146" s="449">
        <f>IF(C146=0,0,E146/C146)</f>
        <v>6.3867227722131992E-2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28897693.90362801</v>
      </c>
      <c r="D148" s="448">
        <f>LN_ID10+LN_ID22</f>
        <v>18846063.363359362</v>
      </c>
      <c r="E148" s="448">
        <f>D148-C148</f>
        <v>-10051630.540268648</v>
      </c>
      <c r="F148" s="503">
        <f>IF(C148=0,0,E148/C148)</f>
        <v>-0.34783504087870137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2521374</v>
      </c>
      <c r="D153" s="448">
        <v>2253833</v>
      </c>
      <c r="E153" s="448">
        <f t="shared" ref="E153:E165" si="16">D153-C153</f>
        <v>-267541</v>
      </c>
      <c r="F153" s="449">
        <f t="shared" ref="F153:F165" si="17">IF(C153=0,0,E153/C153)</f>
        <v>-0.10610920870921965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128688</v>
      </c>
      <c r="D154" s="448">
        <v>602321</v>
      </c>
      <c r="E154" s="448">
        <f t="shared" si="16"/>
        <v>473633</v>
      </c>
      <c r="F154" s="449">
        <f t="shared" si="17"/>
        <v>3.6804752579883129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5.1038838347662825E-2</v>
      </c>
      <c r="D155" s="453">
        <f>IF(LN_IE1=0,0,LN_IE2/LN_IE1)</f>
        <v>0.2672429589947436</v>
      </c>
      <c r="E155" s="454">
        <f t="shared" si="16"/>
        <v>0.21620412064708078</v>
      </c>
      <c r="F155" s="449">
        <f t="shared" si="17"/>
        <v>4.2360705620758159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50</v>
      </c>
      <c r="D156" s="506">
        <v>62</v>
      </c>
      <c r="E156" s="506">
        <f t="shared" si="16"/>
        <v>12</v>
      </c>
      <c r="F156" s="449">
        <f t="shared" si="17"/>
        <v>0.24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1.1045</v>
      </c>
      <c r="D157" s="459">
        <v>1.0931</v>
      </c>
      <c r="E157" s="460">
        <f t="shared" si="16"/>
        <v>-1.1400000000000077E-2</v>
      </c>
      <c r="F157" s="449">
        <f t="shared" si="17"/>
        <v>-1.0321412403802695E-2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55.225000000000001</v>
      </c>
      <c r="D158" s="463">
        <f>LN_IE4*LN_IE5</f>
        <v>67.772199999999998</v>
      </c>
      <c r="E158" s="463">
        <f t="shared" si="16"/>
        <v>12.547199999999997</v>
      </c>
      <c r="F158" s="449">
        <f t="shared" si="17"/>
        <v>0.22720144861928468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2330.2489814395653</v>
      </c>
      <c r="D159" s="465">
        <f>IF(LN_IE6=0,0,LN_IE2/LN_IE6)</f>
        <v>8887.4346708532412</v>
      </c>
      <c r="E159" s="465">
        <f t="shared" si="16"/>
        <v>6557.1856894136763</v>
      </c>
      <c r="F159" s="449">
        <f t="shared" si="17"/>
        <v>2.8139420901550283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11112.60694423584</v>
      </c>
      <c r="D160" s="465">
        <f>LN_IB7-LN_IE7</f>
        <v>2244.9100127169204</v>
      </c>
      <c r="E160" s="465">
        <f t="shared" si="16"/>
        <v>-8867.6969315189199</v>
      </c>
      <c r="F160" s="449">
        <f t="shared" si="17"/>
        <v>-0.79798529508133409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5721.3214535105744</v>
      </c>
      <c r="D161" s="465">
        <f>LN_IA7-LN_IE7</f>
        <v>211.52996743068252</v>
      </c>
      <c r="E161" s="465">
        <f t="shared" si="16"/>
        <v>-5509.7914860798919</v>
      </c>
      <c r="F161" s="449">
        <f t="shared" si="17"/>
        <v>-0.96302777790943928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315959.97727012145</v>
      </c>
      <c r="D162" s="479">
        <f>LN_IE9*LN_IE6</f>
        <v>14335.851258705701</v>
      </c>
      <c r="E162" s="479">
        <f t="shared" si="16"/>
        <v>-301624.12601141573</v>
      </c>
      <c r="F162" s="449">
        <f t="shared" si="17"/>
        <v>-0.95462763549178997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294</v>
      </c>
      <c r="D163" s="456">
        <v>305</v>
      </c>
      <c r="E163" s="506">
        <f t="shared" si="16"/>
        <v>11</v>
      </c>
      <c r="F163" s="449">
        <f t="shared" si="17"/>
        <v>3.7414965986394558E-2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437.71428571428572</v>
      </c>
      <c r="D164" s="465">
        <f>IF(LN_IE11=0,0,LN_IE2/LN_IE11)</f>
        <v>1974.8229508196721</v>
      </c>
      <c r="E164" s="465">
        <f t="shared" si="16"/>
        <v>1537.1086651053863</v>
      </c>
      <c r="F164" s="449">
        <f t="shared" si="17"/>
        <v>3.5116712322903734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5.88</v>
      </c>
      <c r="D165" s="466">
        <f>IF(LN_IE4=0,0,LN_IE11/LN_IE4)</f>
        <v>4.919354838709677</v>
      </c>
      <c r="E165" s="466">
        <f t="shared" si="16"/>
        <v>-0.96064516129032285</v>
      </c>
      <c r="F165" s="449">
        <f t="shared" si="17"/>
        <v>-0.16337502743032703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1345859</v>
      </c>
      <c r="D168" s="511">
        <v>1922933</v>
      </c>
      <c r="E168" s="511">
        <f t="shared" ref="E168:E176" si="18">D168-C168</f>
        <v>577074</v>
      </c>
      <c r="F168" s="449">
        <f t="shared" ref="F168:F176" si="19">IF(C168=0,0,E168/C168)</f>
        <v>0.42877745737109163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124114</v>
      </c>
      <c r="D169" s="511">
        <v>198063</v>
      </c>
      <c r="E169" s="511">
        <f t="shared" si="18"/>
        <v>73949</v>
      </c>
      <c r="F169" s="449">
        <f t="shared" si="19"/>
        <v>0.59581513769598915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9.2219170061648356E-2</v>
      </c>
      <c r="D170" s="453">
        <f>IF(LN_IE14=0,0,LN_IE15/LN_IE14)</f>
        <v>0.10300046855506666</v>
      </c>
      <c r="E170" s="454">
        <f t="shared" si="18"/>
        <v>1.0781298493418301E-2</v>
      </c>
      <c r="F170" s="449">
        <f t="shared" si="19"/>
        <v>0.11690951551842227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0.53377999455852243</v>
      </c>
      <c r="D171" s="453">
        <f>IF(LN_IE1=0,0,LN_IE14/LN_IE1)</f>
        <v>0.85318344349381703</v>
      </c>
      <c r="E171" s="454">
        <f t="shared" si="18"/>
        <v>0.3194034489352946</v>
      </c>
      <c r="F171" s="449">
        <f t="shared" si="19"/>
        <v>0.59838032933299812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26.68899972792612</v>
      </c>
      <c r="D172" s="463">
        <f>LN_IE17*LN_IE4</f>
        <v>52.897373496616659</v>
      </c>
      <c r="E172" s="463">
        <f t="shared" si="18"/>
        <v>26.208373768690539</v>
      </c>
      <c r="F172" s="449">
        <f t="shared" si="19"/>
        <v>0.98199160837291788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4650.380353900372</v>
      </c>
      <c r="D173" s="465">
        <f>IF(LN_IE18=0,0,LN_IE15/LN_IE18)</f>
        <v>3744.2879845947023</v>
      </c>
      <c r="E173" s="465">
        <f t="shared" si="18"/>
        <v>-906.09236930566976</v>
      </c>
      <c r="F173" s="449">
        <f t="shared" si="19"/>
        <v>-0.19484263659115775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13265.862879513094</v>
      </c>
      <c r="D174" s="465">
        <f>LN_IB18-LN_IE19</f>
        <v>12305.142889686191</v>
      </c>
      <c r="E174" s="465">
        <f t="shared" si="18"/>
        <v>-960.71998982690275</v>
      </c>
      <c r="F174" s="449">
        <f t="shared" si="19"/>
        <v>-7.2420467371977298E-2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9151.6288946009663</v>
      </c>
      <c r="D175" s="465">
        <f>LN_IA16-LN_IE19</f>
        <v>9261.806897001381</v>
      </c>
      <c r="E175" s="465">
        <f t="shared" si="18"/>
        <v>110.1780024004147</v>
      </c>
      <c r="F175" s="449">
        <f t="shared" si="19"/>
        <v>1.20391685097081E-2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244247.82107808601</v>
      </c>
      <c r="D176" s="441">
        <f>LN_IE21*LN_IE18</f>
        <v>489925.25868422224</v>
      </c>
      <c r="E176" s="441">
        <f t="shared" si="18"/>
        <v>245677.43760613623</v>
      </c>
      <c r="F176" s="449">
        <f t="shared" si="19"/>
        <v>1.0058531393309469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3867233</v>
      </c>
      <c r="D179" s="448">
        <f>LN_IE1+LN_IE14</f>
        <v>4176766</v>
      </c>
      <c r="E179" s="448">
        <f>D179-C179</f>
        <v>309533</v>
      </c>
      <c r="F179" s="449">
        <f>IF(C179=0,0,E179/C179)</f>
        <v>8.0039914843506976E-2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252802</v>
      </c>
      <c r="D180" s="448">
        <f>LN_IE15+LN_IE2</f>
        <v>800384</v>
      </c>
      <c r="E180" s="448">
        <f>D180-C180</f>
        <v>547582</v>
      </c>
      <c r="F180" s="449">
        <f>IF(C180=0,0,E180/C180)</f>
        <v>2.1660509014960323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3614431</v>
      </c>
      <c r="D181" s="448">
        <f>LN_IE23-LN_IE24</f>
        <v>3376382</v>
      </c>
      <c r="E181" s="448">
        <f>D181-C181</f>
        <v>-238049</v>
      </c>
      <c r="F181" s="449">
        <f>IF(C181=0,0,E181/C181)</f>
        <v>-6.5860712239353858E-2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560207.79834820749</v>
      </c>
      <c r="D183" s="448">
        <f>LN_IE10+LN_IE22</f>
        <v>504261.10994292796</v>
      </c>
      <c r="E183" s="441">
        <f>D183-C183</f>
        <v>-55946.688405279536</v>
      </c>
      <c r="F183" s="449">
        <f>IF(C183=0,0,E183/C183)</f>
        <v>-9.9867742952240809E-2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163887773</v>
      </c>
      <c r="D188" s="448">
        <f>LN_ID1+LN_IE1</f>
        <v>172614747</v>
      </c>
      <c r="E188" s="448">
        <f t="shared" ref="E188:E200" si="20">D188-C188</f>
        <v>8726974</v>
      </c>
      <c r="F188" s="449">
        <f t="shared" ref="F188:F200" si="21">IF(C188=0,0,E188/C188)</f>
        <v>5.3249695448604334E-2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32595569</v>
      </c>
      <c r="D189" s="448">
        <f>LN_1D2+LN_IE2</f>
        <v>37915835</v>
      </c>
      <c r="E189" s="448">
        <f t="shared" si="20"/>
        <v>5320266</v>
      </c>
      <c r="F189" s="449">
        <f t="shared" si="21"/>
        <v>0.16322052853257446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0.19888957182913211</v>
      </c>
      <c r="D190" s="453">
        <f>IF(LN_IF1=0,0,LN_IF2/LN_IF1)</f>
        <v>0.21965582697288313</v>
      </c>
      <c r="E190" s="454">
        <f t="shared" si="20"/>
        <v>2.0766255143751022E-2</v>
      </c>
      <c r="F190" s="449">
        <f t="shared" si="21"/>
        <v>0.10441098018749573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4749</v>
      </c>
      <c r="D191" s="456">
        <f>LN_ID4+LN_IE4</f>
        <v>4517</v>
      </c>
      <c r="E191" s="456">
        <f t="shared" si="20"/>
        <v>-232</v>
      </c>
      <c r="F191" s="449">
        <f t="shared" si="21"/>
        <v>-4.8852389976837232E-2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1.1376472941671931</v>
      </c>
      <c r="D192" s="459">
        <f>IF((LN_ID4+LN_IE4)=0,0,(LN_ID6+LN_IE6)/(LN_ID4+LN_IE4))</f>
        <v>1.1439917423068409</v>
      </c>
      <c r="E192" s="460">
        <f t="shared" si="20"/>
        <v>6.3444481396477403E-3</v>
      </c>
      <c r="F192" s="449">
        <f t="shared" si="21"/>
        <v>5.5768146878001851E-3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5402.6869999999999</v>
      </c>
      <c r="D193" s="463">
        <f>LN_IF4*LN_IF5</f>
        <v>5167.4107000000004</v>
      </c>
      <c r="E193" s="463">
        <f t="shared" si="20"/>
        <v>-235.27629999999954</v>
      </c>
      <c r="F193" s="449">
        <f t="shared" si="21"/>
        <v>-4.3548016014993939E-2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6033.2143986871715</v>
      </c>
      <c r="D194" s="465">
        <f>IF(LN_IF6=0,0,LN_IF2/LN_IF6)</f>
        <v>7337.492063481619</v>
      </c>
      <c r="E194" s="465">
        <f t="shared" si="20"/>
        <v>1304.2776647944474</v>
      </c>
      <c r="F194" s="449">
        <f t="shared" si="21"/>
        <v>0.21618288007107098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7409.6415269882336</v>
      </c>
      <c r="D195" s="465">
        <f>LN_IB7-LN_IF7</f>
        <v>3794.8526200885426</v>
      </c>
      <c r="E195" s="465">
        <f t="shared" si="20"/>
        <v>-3614.788906899691</v>
      </c>
      <c r="F195" s="449">
        <f t="shared" si="21"/>
        <v>-0.4878493640661965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2018.3560362629678</v>
      </c>
      <c r="D196" s="465">
        <f>LN_IA7-LN_IF7</f>
        <v>1761.4725748023047</v>
      </c>
      <c r="E196" s="465">
        <f t="shared" si="20"/>
        <v>-256.88346146066306</v>
      </c>
      <c r="F196" s="449">
        <f t="shared" si="21"/>
        <v>-0.12727361121890499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10904545.918489458</v>
      </c>
      <c r="D197" s="479">
        <f>LN_IF9*LN_IF6</f>
        <v>9102252.2307899799</v>
      </c>
      <c r="E197" s="479">
        <f t="shared" si="20"/>
        <v>-1802293.6876994781</v>
      </c>
      <c r="F197" s="449">
        <f t="shared" si="21"/>
        <v>-0.16527911397425149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30427</v>
      </c>
      <c r="D198" s="456">
        <f>LN_ID11+LN_IE11</f>
        <v>26374</v>
      </c>
      <c r="E198" s="456">
        <f t="shared" si="20"/>
        <v>-4053</v>
      </c>
      <c r="F198" s="449">
        <f t="shared" si="21"/>
        <v>-0.13320406218161501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1071.271206494232</v>
      </c>
      <c r="D199" s="519">
        <f>IF(LN_IF11=0,0,LN_IF2/LN_IF11)</f>
        <v>1437.6217107757641</v>
      </c>
      <c r="E199" s="519">
        <f t="shared" si="20"/>
        <v>366.35050428153204</v>
      </c>
      <c r="F199" s="449">
        <f t="shared" si="21"/>
        <v>0.34197736489196356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6.4070330595914928</v>
      </c>
      <c r="D200" s="466">
        <f>IF(LN_IF4=0,0,LN_IF11/LN_IF4)</f>
        <v>5.8388310825769318</v>
      </c>
      <c r="E200" s="466">
        <f t="shared" si="20"/>
        <v>-0.56820197701456099</v>
      </c>
      <c r="F200" s="449">
        <f t="shared" si="21"/>
        <v>-8.8684102568184514E-2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122353413</v>
      </c>
      <c r="D203" s="448">
        <f>LN_ID14+LN_IE14</f>
        <v>139522312</v>
      </c>
      <c r="E203" s="448">
        <f t="shared" ref="E203:E211" si="22">D203-C203</f>
        <v>17168899</v>
      </c>
      <c r="F203" s="449">
        <f t="shared" ref="F203:F211" si="23">IF(C203=0,0,E203/C203)</f>
        <v>0.14032219109408905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30449806</v>
      </c>
      <c r="D204" s="448">
        <f>LN_ID15+LN_IE15</f>
        <v>37239408</v>
      </c>
      <c r="E204" s="448">
        <f t="shared" si="22"/>
        <v>6789602</v>
      </c>
      <c r="F204" s="449">
        <f t="shared" si="23"/>
        <v>0.22297685574745535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0.24886764703490535</v>
      </c>
      <c r="D205" s="453">
        <f>IF(LN_IF14=0,0,LN_IF15/LN_IF14)</f>
        <v>0.26690647156133707</v>
      </c>
      <c r="E205" s="454">
        <f t="shared" si="22"/>
        <v>1.8038824526431713E-2</v>
      </c>
      <c r="F205" s="449">
        <f t="shared" si="23"/>
        <v>7.2483606211383708E-2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0.7465682812103378</v>
      </c>
      <c r="D206" s="453">
        <f>IF(LN_IF1=0,0,LN_IF14/LN_IF1)</f>
        <v>0.80828732437327622</v>
      </c>
      <c r="E206" s="454">
        <f t="shared" si="22"/>
        <v>6.1719043162938414E-2</v>
      </c>
      <c r="F206" s="449">
        <f t="shared" si="23"/>
        <v>8.2670325965200922E-2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3550.4368169299451</v>
      </c>
      <c r="D207" s="463">
        <f>LN_ID18+LN_IE18</f>
        <v>3651.171291215795</v>
      </c>
      <c r="E207" s="463">
        <f t="shared" si="22"/>
        <v>100.73447428584996</v>
      </c>
      <c r="F207" s="449">
        <f t="shared" si="23"/>
        <v>2.8372417108088362E-2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8576.3548459172071</v>
      </c>
      <c r="D208" s="465">
        <f>IF(LN_IF18=0,0,LN_IF15/LN_IF18)</f>
        <v>10199.304560044275</v>
      </c>
      <c r="E208" s="465">
        <f t="shared" si="22"/>
        <v>1622.9497141270676</v>
      </c>
      <c r="F208" s="449">
        <f t="shared" si="23"/>
        <v>0.18923537368555551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9339.8883874962576</v>
      </c>
      <c r="D209" s="465">
        <f>LN_IB18-LN_IF19</f>
        <v>5850.1263142366188</v>
      </c>
      <c r="E209" s="465">
        <f t="shared" si="22"/>
        <v>-3489.7620732596388</v>
      </c>
      <c r="F209" s="449">
        <f t="shared" si="23"/>
        <v>-0.3736406612665249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5225.6544025841322</v>
      </c>
      <c r="D210" s="465">
        <f>LN_IA16-LN_IF19</f>
        <v>2806.790321551809</v>
      </c>
      <c r="E210" s="465">
        <f t="shared" si="22"/>
        <v>-2418.8640810323232</v>
      </c>
      <c r="F210" s="449">
        <f t="shared" si="23"/>
        <v>-0.4628825204812958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18553355.783486757</v>
      </c>
      <c r="D211" s="441">
        <f>LN_IF21*LN_IF18</f>
        <v>10248072.242512316</v>
      </c>
      <c r="E211" s="441">
        <f t="shared" si="22"/>
        <v>-8305283.5409744419</v>
      </c>
      <c r="F211" s="449">
        <f t="shared" si="23"/>
        <v>-0.44764319931634594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286241186</v>
      </c>
      <c r="D214" s="448">
        <f>LN_IF1+LN_IF14</f>
        <v>312137059</v>
      </c>
      <c r="E214" s="448">
        <f>D214-C214</f>
        <v>25895873</v>
      </c>
      <c r="F214" s="449">
        <f>IF(C214=0,0,E214/C214)</f>
        <v>9.0468717524109191E-2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63045375</v>
      </c>
      <c r="D215" s="448">
        <f>LN_IF2+LN_IF15</f>
        <v>75155243</v>
      </c>
      <c r="E215" s="448">
        <f>D215-C215</f>
        <v>12109868</v>
      </c>
      <c r="F215" s="449">
        <f>IF(C215=0,0,E215/C215)</f>
        <v>0.192081782367065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223195811</v>
      </c>
      <c r="D216" s="448">
        <f>LN_IF23-LN_IF24</f>
        <v>236981816</v>
      </c>
      <c r="E216" s="448">
        <f>D216-C216</f>
        <v>13786005</v>
      </c>
      <c r="F216" s="449">
        <f>IF(C216=0,0,E216/C216)</f>
        <v>6.1766414603542895E-2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430089</v>
      </c>
      <c r="D221" s="448">
        <v>324108</v>
      </c>
      <c r="E221" s="448">
        <f t="shared" ref="E221:E230" si="24">D221-C221</f>
        <v>-105981</v>
      </c>
      <c r="F221" s="449">
        <f t="shared" ref="F221:F230" si="25">IF(C221=0,0,E221/C221)</f>
        <v>-0.24641643938812666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169349</v>
      </c>
      <c r="D222" s="448">
        <v>181193</v>
      </c>
      <c r="E222" s="448">
        <f t="shared" si="24"/>
        <v>11844</v>
      </c>
      <c r="F222" s="449">
        <f t="shared" si="25"/>
        <v>6.9938411209986479E-2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0.3937533859270988</v>
      </c>
      <c r="D223" s="453">
        <f>IF(LN_IG1=0,0,LN_IG2/LN_IG1)</f>
        <v>0.55905130388635882</v>
      </c>
      <c r="E223" s="454">
        <f t="shared" si="24"/>
        <v>0.16529791795926002</v>
      </c>
      <c r="F223" s="449">
        <f t="shared" si="25"/>
        <v>0.4198006261458892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19</v>
      </c>
      <c r="D224" s="456">
        <v>17</v>
      </c>
      <c r="E224" s="456">
        <f t="shared" si="24"/>
        <v>-2</v>
      </c>
      <c r="F224" s="449">
        <f t="shared" si="25"/>
        <v>-0.10526315789473684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1.0709</v>
      </c>
      <c r="D225" s="459">
        <v>0.91410000000000002</v>
      </c>
      <c r="E225" s="460">
        <f t="shared" si="24"/>
        <v>-0.15679999999999994</v>
      </c>
      <c r="F225" s="449">
        <f t="shared" si="25"/>
        <v>-0.14641889999066202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20.347099999999998</v>
      </c>
      <c r="D226" s="463">
        <f>LN_IG3*LN_IG4</f>
        <v>15.5397</v>
      </c>
      <c r="E226" s="463">
        <f t="shared" si="24"/>
        <v>-4.8073999999999977</v>
      </c>
      <c r="F226" s="449">
        <f t="shared" si="25"/>
        <v>-0.23626954209690806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8323.0042610494875</v>
      </c>
      <c r="D227" s="465">
        <f>IF(LN_IG5=0,0,LN_IG2/LN_IG5)</f>
        <v>11660.006306428053</v>
      </c>
      <c r="E227" s="465">
        <f t="shared" si="24"/>
        <v>3337.0020453785655</v>
      </c>
      <c r="F227" s="449">
        <f t="shared" si="25"/>
        <v>0.40093720256701959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58</v>
      </c>
      <c r="D228" s="456">
        <v>68</v>
      </c>
      <c r="E228" s="456">
        <f t="shared" si="24"/>
        <v>10</v>
      </c>
      <c r="F228" s="449">
        <f t="shared" si="25"/>
        <v>0.17241379310344829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2919.8103448275861</v>
      </c>
      <c r="D229" s="465">
        <f>IF(LN_IG6=0,0,LN_IG2/LN_IG6)</f>
        <v>2664.6029411764707</v>
      </c>
      <c r="E229" s="465">
        <f t="shared" si="24"/>
        <v>-255.20740365111533</v>
      </c>
      <c r="F229" s="449">
        <f t="shared" si="25"/>
        <v>-8.7405472791482031E-2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3.0526315789473686</v>
      </c>
      <c r="D230" s="466">
        <f>IF(LN_IG3=0,0,LN_IG6/LN_IG3)</f>
        <v>4</v>
      </c>
      <c r="E230" s="466">
        <f t="shared" si="24"/>
        <v>0.94736842105263142</v>
      </c>
      <c r="F230" s="449">
        <f t="shared" si="25"/>
        <v>0.31034482758620685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352871</v>
      </c>
      <c r="D233" s="448">
        <v>529651</v>
      </c>
      <c r="E233" s="448">
        <f>D233-C233</f>
        <v>176780</v>
      </c>
      <c r="F233" s="449">
        <f>IF(C233=0,0,E233/C233)</f>
        <v>0.50097627744983297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96023</v>
      </c>
      <c r="D234" s="448">
        <v>136194</v>
      </c>
      <c r="E234" s="448">
        <f>D234-C234</f>
        <v>40171</v>
      </c>
      <c r="F234" s="449">
        <f>IF(C234=0,0,E234/C234)</f>
        <v>0.41834768753319518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782960</v>
      </c>
      <c r="D237" s="448">
        <f>LN_IG1+LN_IG9</f>
        <v>853759</v>
      </c>
      <c r="E237" s="448">
        <f>D237-C237</f>
        <v>70799</v>
      </c>
      <c r="F237" s="449">
        <f>IF(C237=0,0,E237/C237)</f>
        <v>9.0424798201696133E-2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265372</v>
      </c>
      <c r="D238" s="448">
        <f>LN_IG2+LN_IG10</f>
        <v>317387</v>
      </c>
      <c r="E238" s="448">
        <f>D238-C238</f>
        <v>52015</v>
      </c>
      <c r="F238" s="449">
        <f>IF(C238=0,0,E238/C238)</f>
        <v>0.19600786820011154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517588</v>
      </c>
      <c r="D239" s="448">
        <f>LN_IG13-LN_IG14</f>
        <v>536372</v>
      </c>
      <c r="E239" s="448">
        <f>D239-C239</f>
        <v>18784</v>
      </c>
      <c r="F239" s="449">
        <f>IF(C239=0,0,E239/C239)</f>
        <v>3.6291413247602343E-2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20518000</v>
      </c>
      <c r="D243" s="448">
        <v>21304000</v>
      </c>
      <c r="E243" s="441">
        <f>D243-C243</f>
        <v>786000</v>
      </c>
      <c r="F243" s="503">
        <f>IF(C243=0,0,E243/C243)</f>
        <v>3.8307827273613412E-2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424794000</v>
      </c>
      <c r="D244" s="448">
        <v>435859000</v>
      </c>
      <c r="E244" s="441">
        <f>D244-C244</f>
        <v>11065000</v>
      </c>
      <c r="F244" s="503">
        <f>IF(C244=0,0,E244/C244)</f>
        <v>2.6047919697547516E-2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21773000</v>
      </c>
      <c r="D248" s="441">
        <v>22570000</v>
      </c>
      <c r="E248" s="441">
        <f>D248-C248</f>
        <v>797000</v>
      </c>
      <c r="F248" s="449">
        <f>IF(C248=0,0,E248/C248)</f>
        <v>3.6604969457585082E-2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20518000</v>
      </c>
      <c r="D249" s="441">
        <v>19160000</v>
      </c>
      <c r="E249" s="441">
        <f>D249-C249</f>
        <v>-1358000</v>
      </c>
      <c r="F249" s="449">
        <f>IF(C249=0,0,E249/C249)</f>
        <v>-6.6185788088507655E-2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42291000</v>
      </c>
      <c r="D250" s="441">
        <f>LN_IH4+LN_IH5</f>
        <v>41730000</v>
      </c>
      <c r="E250" s="441">
        <f>D250-C250</f>
        <v>-561000</v>
      </c>
      <c r="F250" s="449">
        <f>IF(C250=0,0,E250/C250)</f>
        <v>-1.3265233737674683E-2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12493094.966138748</v>
      </c>
      <c r="D251" s="441">
        <f>LN_IH6*LN_III10</f>
        <v>11785450.764713509</v>
      </c>
      <c r="E251" s="441">
        <f>D251-C251</f>
        <v>-707644.20142523944</v>
      </c>
      <c r="F251" s="449">
        <f>IF(C251=0,0,E251/C251)</f>
        <v>-5.6642825764411174E-2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286241186</v>
      </c>
      <c r="D254" s="441">
        <f>LN_IF23</f>
        <v>312137059</v>
      </c>
      <c r="E254" s="441">
        <f>D254-C254</f>
        <v>25895873</v>
      </c>
      <c r="F254" s="449">
        <f>IF(C254=0,0,E254/C254)</f>
        <v>9.0468717524109191E-2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63045375</v>
      </c>
      <c r="D255" s="441">
        <f>LN_IF24</f>
        <v>75155243</v>
      </c>
      <c r="E255" s="441">
        <f>D255-C255</f>
        <v>12109868</v>
      </c>
      <c r="F255" s="449">
        <f>IF(C255=0,0,E255/C255)</f>
        <v>0.192081782367065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84557904.043843493</v>
      </c>
      <c r="D256" s="441">
        <f>LN_IH8*LN_III10</f>
        <v>88154228.149699867</v>
      </c>
      <c r="E256" s="441">
        <f>D256-C256</f>
        <v>3596324.1058563739</v>
      </c>
      <c r="F256" s="449">
        <f>IF(C256=0,0,E256/C256)</f>
        <v>4.2530904077183261E-2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21512529.043843493</v>
      </c>
      <c r="D257" s="441">
        <f>LN_IH10-LN_IH9</f>
        <v>12998985.149699867</v>
      </c>
      <c r="E257" s="441">
        <f>D257-C257</f>
        <v>-8513543.8941436261</v>
      </c>
      <c r="F257" s="449">
        <f>IF(C257=0,0,E257/C257)</f>
        <v>-0.39574816502479299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824442513</v>
      </c>
      <c r="D261" s="448">
        <f>LN_IA1+LN_IB1+LN_IF1+LN_IG1</f>
        <v>834513530</v>
      </c>
      <c r="E261" s="448">
        <f t="shared" ref="E261:E274" si="26">D261-C261</f>
        <v>10071017</v>
      </c>
      <c r="F261" s="503">
        <f t="shared" ref="F261:F274" si="27">IF(C261=0,0,E261/C261)</f>
        <v>1.2215547889874525E-2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235891172</v>
      </c>
      <c r="D262" s="448">
        <f>+LN_IA2+LN_IB2+LN_IF2+LN_IG2</f>
        <v>233334464</v>
      </c>
      <c r="E262" s="448">
        <f t="shared" si="26"/>
        <v>-2556708</v>
      </c>
      <c r="F262" s="503">
        <f t="shared" si="27"/>
        <v>-1.0838506495698787E-2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0.28612203795948599</v>
      </c>
      <c r="D263" s="453">
        <f>IF(LN_IIA1=0,0,LN_IIA2/LN_IIA1)</f>
        <v>0.27960536960976534</v>
      </c>
      <c r="E263" s="454">
        <f t="shared" si="26"/>
        <v>-6.5166683497206446E-3</v>
      </c>
      <c r="F263" s="458">
        <f t="shared" si="27"/>
        <v>-2.2775835081404617E-2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18308</v>
      </c>
      <c r="D264" s="456">
        <f>LN_IA4+LN_IB4+LN_IF4+LN_IG3</f>
        <v>17172</v>
      </c>
      <c r="E264" s="456">
        <f t="shared" si="26"/>
        <v>-1136</v>
      </c>
      <c r="F264" s="503">
        <f t="shared" si="27"/>
        <v>-6.2049377321389557E-2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1.4007596952152062</v>
      </c>
      <c r="D265" s="525">
        <f>IF(LN_IIA4=0,0,LN_IIA6/LN_IIA4)</f>
        <v>1.4614606918238995</v>
      </c>
      <c r="E265" s="525">
        <f t="shared" si="26"/>
        <v>6.0700996608693325E-2</v>
      </c>
      <c r="F265" s="503">
        <f t="shared" si="27"/>
        <v>4.3334339798638703E-2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25645.108499999995</v>
      </c>
      <c r="D266" s="463">
        <f>LN_IA6+LN_IB6+LN_IF6+LN_IG5</f>
        <v>25096.203000000001</v>
      </c>
      <c r="E266" s="463">
        <f t="shared" si="26"/>
        <v>-548.90549999999348</v>
      </c>
      <c r="F266" s="503">
        <f t="shared" si="27"/>
        <v>-2.1403906323889936E-2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481811607</v>
      </c>
      <c r="D267" s="448">
        <f>LN_IA11+LN_IB13+LN_IF14+LN_IG9</f>
        <v>567183300</v>
      </c>
      <c r="E267" s="448">
        <f t="shared" si="26"/>
        <v>85371693</v>
      </c>
      <c r="F267" s="503">
        <f t="shared" si="27"/>
        <v>0.17718895053518294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0.58440897867672192</v>
      </c>
      <c r="D268" s="453">
        <f>IF(LN_IIA1=0,0,LN_IIA7/LN_IIA1)</f>
        <v>0.67965740471577496</v>
      </c>
      <c r="E268" s="454">
        <f t="shared" si="26"/>
        <v>9.5248426039053036E-2</v>
      </c>
      <c r="F268" s="458">
        <f t="shared" si="27"/>
        <v>0.16298248232722945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156784713</v>
      </c>
      <c r="D269" s="448">
        <f>LN_IA12+LN_IB14+LN_IF15+LN_IG10</f>
        <v>167314860</v>
      </c>
      <c r="E269" s="448">
        <f t="shared" si="26"/>
        <v>10530147</v>
      </c>
      <c r="F269" s="503">
        <f t="shared" si="27"/>
        <v>6.7163097718589443E-2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0.32540667497867065</v>
      </c>
      <c r="D270" s="453">
        <f>IF(LN_IIA7=0,0,LN_IIA9/LN_IIA7)</f>
        <v>0.29499257118465932</v>
      </c>
      <c r="E270" s="454">
        <f t="shared" si="26"/>
        <v>-3.0414103794011327E-2</v>
      </c>
      <c r="F270" s="458">
        <f t="shared" si="27"/>
        <v>-9.3464904479924615E-2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1306254120</v>
      </c>
      <c r="D271" s="441">
        <f>LN_IIA1+LN_IIA7</f>
        <v>1401696830</v>
      </c>
      <c r="E271" s="441">
        <f t="shared" si="26"/>
        <v>95442710</v>
      </c>
      <c r="F271" s="503">
        <f t="shared" si="27"/>
        <v>7.3065959018755094E-2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392675885</v>
      </c>
      <c r="D272" s="441">
        <f>LN_IIA2+LN_IIA9</f>
        <v>400649324</v>
      </c>
      <c r="E272" s="441">
        <f t="shared" si="26"/>
        <v>7973439</v>
      </c>
      <c r="F272" s="503">
        <f t="shared" si="27"/>
        <v>2.0305395122493963E-2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0.30061216955242981</v>
      </c>
      <c r="D273" s="453">
        <f>IF(LN_IIA11=0,0,LN_IIA12/LN_IIA11)</f>
        <v>0.28583165448123327</v>
      </c>
      <c r="E273" s="454">
        <f t="shared" si="26"/>
        <v>-1.4780515071196543E-2</v>
      </c>
      <c r="F273" s="458">
        <f t="shared" si="27"/>
        <v>-4.9168052954085981E-2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111145</v>
      </c>
      <c r="D274" s="508">
        <f>LN_IA8+LN_IB10+LN_IF11+LN_IG6</f>
        <v>98271</v>
      </c>
      <c r="E274" s="528">
        <f t="shared" si="26"/>
        <v>-12874</v>
      </c>
      <c r="F274" s="458">
        <f t="shared" si="27"/>
        <v>-0.11583067164514824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607268001</v>
      </c>
      <c r="D277" s="448">
        <f>LN_IA1+LN_IF1+LN_IG1</f>
        <v>630520221</v>
      </c>
      <c r="E277" s="448">
        <f t="shared" ref="E277:E291" si="28">D277-C277</f>
        <v>23252220</v>
      </c>
      <c r="F277" s="503">
        <f t="shared" ref="F277:F291" si="29">IF(C277=0,0,E277/C277)</f>
        <v>3.8289881834231536E-2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135388523</v>
      </c>
      <c r="D278" s="448">
        <f>LN_IA2+LN_IF2+LN_IG2</f>
        <v>156427489</v>
      </c>
      <c r="E278" s="448">
        <f t="shared" si="28"/>
        <v>21038966</v>
      </c>
      <c r="F278" s="503">
        <f t="shared" si="29"/>
        <v>0.1553969681758032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0.22294690775251305</v>
      </c>
      <c r="D279" s="453">
        <f>IF(D277=0,0,LN_IIB2/D277)</f>
        <v>0.2480927395982753</v>
      </c>
      <c r="E279" s="454">
        <f t="shared" si="28"/>
        <v>2.5145831845762245E-2</v>
      </c>
      <c r="F279" s="458">
        <f t="shared" si="29"/>
        <v>0.1127884306593564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13030</v>
      </c>
      <c r="D280" s="456">
        <f>LN_IA4+LN_IF4+LN_IG3</f>
        <v>12236</v>
      </c>
      <c r="E280" s="456">
        <f t="shared" si="28"/>
        <v>-794</v>
      </c>
      <c r="F280" s="503">
        <f t="shared" si="29"/>
        <v>-6.0936300844205676E-2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1.3943838449731387</v>
      </c>
      <c r="D281" s="525">
        <f>IF(LN_IIB4=0,0,LN_IIB6/LN_IIB4)</f>
        <v>1.4864152827721477</v>
      </c>
      <c r="E281" s="525">
        <f t="shared" si="28"/>
        <v>9.2031437799009019E-2</v>
      </c>
      <c r="F281" s="503">
        <f t="shared" si="29"/>
        <v>6.6001508932271011E-2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18168.821499999998</v>
      </c>
      <c r="D282" s="463">
        <f>LN_IA6+LN_IF6+LN_IG5</f>
        <v>18187.777399999999</v>
      </c>
      <c r="E282" s="463">
        <f t="shared" si="28"/>
        <v>18.955900000000838</v>
      </c>
      <c r="F282" s="503">
        <f t="shared" si="29"/>
        <v>1.0433202835968662E-3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291951415</v>
      </c>
      <c r="D283" s="448">
        <f>LN_IA11+LN_IF14+LN_IG9</f>
        <v>352151268</v>
      </c>
      <c r="E283" s="448">
        <f t="shared" si="28"/>
        <v>60199853</v>
      </c>
      <c r="F283" s="503">
        <f t="shared" si="29"/>
        <v>0.20619818883220689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0.48076205978124642</v>
      </c>
      <c r="D284" s="453">
        <f>IF(D277=0,0,LN_IIB7/D277)</f>
        <v>0.55850907912436321</v>
      </c>
      <c r="E284" s="454">
        <f t="shared" si="28"/>
        <v>7.7747019343116786E-2</v>
      </c>
      <c r="F284" s="458">
        <f t="shared" si="29"/>
        <v>0.16171621233691524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74115958</v>
      </c>
      <c r="D285" s="448">
        <f>LN_IA12+LN_IF15+LN_IG10</f>
        <v>83808025</v>
      </c>
      <c r="E285" s="448">
        <f t="shared" si="28"/>
        <v>9692067</v>
      </c>
      <c r="F285" s="503">
        <f t="shared" si="29"/>
        <v>0.13076896341271066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0.25386401364076278</v>
      </c>
      <c r="D286" s="453">
        <f>IF(LN_IIB7=0,0,LN_IIB9/LN_IIB7)</f>
        <v>0.2379887071711467</v>
      </c>
      <c r="E286" s="454">
        <f t="shared" si="28"/>
        <v>-1.5875306469616074E-2</v>
      </c>
      <c r="F286" s="458">
        <f t="shared" si="29"/>
        <v>-6.2534686354092164E-2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899219416</v>
      </c>
      <c r="D287" s="441">
        <f>D277+LN_IIB7</f>
        <v>982671489</v>
      </c>
      <c r="E287" s="441">
        <f t="shared" si="28"/>
        <v>83452073</v>
      </c>
      <c r="F287" s="503">
        <f t="shared" si="29"/>
        <v>9.2805016790251341E-2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209504481</v>
      </c>
      <c r="D288" s="441">
        <f>LN_IIB2+LN_IIB9</f>
        <v>240235514</v>
      </c>
      <c r="E288" s="441">
        <f t="shared" si="28"/>
        <v>30731033</v>
      </c>
      <c r="F288" s="503">
        <f t="shared" si="29"/>
        <v>0.14668437091806166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0.23298482803222745</v>
      </c>
      <c r="D289" s="453">
        <f>IF(LN_IIB11=0,0,LN_IIB12/LN_IIB11)</f>
        <v>0.24447184709151565</v>
      </c>
      <c r="E289" s="454">
        <f t="shared" si="28"/>
        <v>1.14870190592882E-2</v>
      </c>
      <c r="F289" s="458">
        <f t="shared" si="29"/>
        <v>4.930372143244996E-2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85605</v>
      </c>
      <c r="D290" s="508">
        <f>LN_IA8+LN_IF11+LN_IG6</f>
        <v>75675</v>
      </c>
      <c r="E290" s="528">
        <f t="shared" si="28"/>
        <v>-9930</v>
      </c>
      <c r="F290" s="458">
        <f t="shared" si="29"/>
        <v>-0.11599789731908183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689714935</v>
      </c>
      <c r="D291" s="516">
        <f>LN_IIB11-LN_IIB12</f>
        <v>742435975</v>
      </c>
      <c r="E291" s="441">
        <f t="shared" si="28"/>
        <v>52721040</v>
      </c>
      <c r="F291" s="503">
        <f t="shared" si="29"/>
        <v>7.6438884131166451E-2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6.6715081094166058</v>
      </c>
      <c r="D294" s="466">
        <f>IF(LN_IA4=0,0,LN_IA8/LN_IA4)</f>
        <v>6.392235782913529</v>
      </c>
      <c r="E294" s="466">
        <f t="shared" ref="E294:E300" si="30">D294-C294</f>
        <v>-0.27927232650307676</v>
      </c>
      <c r="F294" s="503">
        <f t="shared" ref="F294:F300" si="31">IF(C294=0,0,E294/C294)</f>
        <v>-4.1860449230196307E-2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4.8389541492989769</v>
      </c>
      <c r="D295" s="466">
        <f>IF(LN_IB4=0,0,(LN_IB10)/(LN_IB4))</f>
        <v>4.5777957860615883</v>
      </c>
      <c r="E295" s="466">
        <f t="shared" si="30"/>
        <v>-0.26115836323738861</v>
      </c>
      <c r="F295" s="503">
        <f t="shared" si="31"/>
        <v>-5.397000161186128E-2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4.5239923224568139</v>
      </c>
      <c r="D296" s="466">
        <f>IF(LN_IC4=0,0,LN_IC11/LN_IC4)</f>
        <v>5.6535796766743651</v>
      </c>
      <c r="E296" s="466">
        <f t="shared" si="30"/>
        <v>1.1295873542175512</v>
      </c>
      <c r="F296" s="503">
        <f t="shared" si="31"/>
        <v>0.24968816781813499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6.4126409874441368</v>
      </c>
      <c r="D297" s="466">
        <f>IF(LN_ID4=0,0,LN_ID11/LN_ID4)</f>
        <v>5.8516273849607181</v>
      </c>
      <c r="E297" s="466">
        <f t="shared" si="30"/>
        <v>-0.56101360248341869</v>
      </c>
      <c r="F297" s="503">
        <f t="shared" si="31"/>
        <v>-8.7485577873745876E-2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5.88</v>
      </c>
      <c r="D298" s="466">
        <f>IF(LN_IE4=0,0,LN_IE11/LN_IE4)</f>
        <v>4.919354838709677</v>
      </c>
      <c r="E298" s="466">
        <f t="shared" si="30"/>
        <v>-0.96064516129032285</v>
      </c>
      <c r="F298" s="503">
        <f t="shared" si="31"/>
        <v>-0.16337502743032703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3.0526315789473686</v>
      </c>
      <c r="D299" s="466">
        <f>IF(LN_IG3=0,0,LN_IG6/LN_IG3)</f>
        <v>4</v>
      </c>
      <c r="E299" s="466">
        <f t="shared" si="30"/>
        <v>0.94736842105263142</v>
      </c>
      <c r="F299" s="503">
        <f t="shared" si="31"/>
        <v>0.31034482758620685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6.0708433471706362</v>
      </c>
      <c r="D300" s="466">
        <f>IF(LN_IIA4=0,0,LN_IIA14/LN_IIA4)</f>
        <v>5.7227463312368974</v>
      </c>
      <c r="E300" s="466">
        <f t="shared" si="30"/>
        <v>-0.34809701593373887</v>
      </c>
      <c r="F300" s="503">
        <f t="shared" si="31"/>
        <v>-5.7339153067748352E-2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1306254120</v>
      </c>
      <c r="D304" s="441">
        <f>LN_IIA11</f>
        <v>1401696830</v>
      </c>
      <c r="E304" s="441">
        <f t="shared" ref="E304:E316" si="32">D304-C304</f>
        <v>95442710</v>
      </c>
      <c r="F304" s="449">
        <f>IF(C304=0,0,E304/C304)</f>
        <v>7.3065959018755094E-2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689714935</v>
      </c>
      <c r="D305" s="441">
        <f>LN_IIB14</f>
        <v>742435975</v>
      </c>
      <c r="E305" s="441">
        <f t="shared" si="32"/>
        <v>52721040</v>
      </c>
      <c r="F305" s="449">
        <f>IF(C305=0,0,E305/C305)</f>
        <v>7.6438884131166451E-2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42291000</v>
      </c>
      <c r="D306" s="441">
        <f>LN_IH6</f>
        <v>41730000</v>
      </c>
      <c r="E306" s="441">
        <f t="shared" si="32"/>
        <v>-561000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178910845</v>
      </c>
      <c r="D307" s="441">
        <f>LN_IB32-LN_IB33</f>
        <v>214980087</v>
      </c>
      <c r="E307" s="441">
        <f t="shared" si="32"/>
        <v>36069242</v>
      </c>
      <c r="F307" s="449">
        <f t="shared" ref="F307:F316" si="33">IF(C307=0,0,E307/C307)</f>
        <v>0.20160455896343232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9459570</v>
      </c>
      <c r="D308" s="441">
        <v>6681394</v>
      </c>
      <c r="E308" s="441">
        <f t="shared" si="32"/>
        <v>-2778176</v>
      </c>
      <c r="F308" s="449">
        <f t="shared" si="33"/>
        <v>-0.2936894594574595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920376350</v>
      </c>
      <c r="D309" s="441">
        <f>LN_III2+LN_III3+LN_III4+LN_III5</f>
        <v>1005827456</v>
      </c>
      <c r="E309" s="441">
        <f t="shared" si="32"/>
        <v>85451106</v>
      </c>
      <c r="F309" s="449">
        <f t="shared" si="33"/>
        <v>9.284365683668426E-2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385877770</v>
      </c>
      <c r="D310" s="441">
        <f>LN_III1-LN_III6</f>
        <v>395869374</v>
      </c>
      <c r="E310" s="441">
        <f t="shared" si="32"/>
        <v>9991604</v>
      </c>
      <c r="F310" s="449">
        <f t="shared" si="33"/>
        <v>2.5893183740540431E-2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385877770</v>
      </c>
      <c r="D312" s="441">
        <f>LN_III7+LN_III8</f>
        <v>395869374</v>
      </c>
      <c r="E312" s="441">
        <f t="shared" si="32"/>
        <v>9991604</v>
      </c>
      <c r="F312" s="449">
        <f t="shared" si="33"/>
        <v>2.5893183740540431E-2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0.29540788740249102</v>
      </c>
      <c r="D313" s="532">
        <f>IF(LN_III1=0,0,LN_III9/LN_III1)</f>
        <v>0.28242153761594796</v>
      </c>
      <c r="E313" s="532">
        <f t="shared" si="32"/>
        <v>-1.2986349786543061E-2</v>
      </c>
      <c r="F313" s="449">
        <f t="shared" si="33"/>
        <v>-4.3960741538526547E-2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12493094.966138748</v>
      </c>
      <c r="D314" s="441">
        <f>D313*LN_III5</f>
        <v>11785450.764713509</v>
      </c>
      <c r="E314" s="441">
        <f t="shared" si="32"/>
        <v>-707644.20142523944</v>
      </c>
      <c r="F314" s="449">
        <f t="shared" si="33"/>
        <v>-5.6642825764411174E-2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21512529.043843493</v>
      </c>
      <c r="D315" s="441">
        <f>D313*LN_IH8-LN_IH9</f>
        <v>12998985.149699867</v>
      </c>
      <c r="E315" s="441">
        <f t="shared" si="32"/>
        <v>-8513543.8941436261</v>
      </c>
      <c r="F315" s="449">
        <f t="shared" si="33"/>
        <v>-0.39574816502479299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34005624.009982243</v>
      </c>
      <c r="D318" s="441">
        <f>D314+D315+D316</f>
        <v>24784435.914413378</v>
      </c>
      <c r="E318" s="441">
        <f>D318-C318</f>
        <v>-9221188.0955688655</v>
      </c>
      <c r="F318" s="449">
        <f>IF(C318=0,0,E318/C318)</f>
        <v>-0.27116656035666381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18309107.962408673</v>
      </c>
      <c r="D322" s="441">
        <f>LN_ID22</f>
        <v>9758146.983828092</v>
      </c>
      <c r="E322" s="441">
        <f>LN_IV2-C322</f>
        <v>-8550960.978580581</v>
      </c>
      <c r="F322" s="449">
        <f>IF(C322=0,0,E322/C322)</f>
        <v>-0.46703318349189804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560207.79834820749</v>
      </c>
      <c r="D323" s="441">
        <f>LN_IE10+LN_IE22</f>
        <v>504261.10994292796</v>
      </c>
      <c r="E323" s="441">
        <f>LN_IV3-C323</f>
        <v>-55946.688405279536</v>
      </c>
      <c r="F323" s="449">
        <f>IF(C323=0,0,E323/C323)</f>
        <v>-9.9867742952240809E-2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5698005.4816765767</v>
      </c>
      <c r="D324" s="441">
        <f>LN_IC10+LN_IC22</f>
        <v>6321348.8393800408</v>
      </c>
      <c r="E324" s="441">
        <f>LN_IV1-C324</f>
        <v>623343.35770346411</v>
      </c>
      <c r="F324" s="449">
        <f>IF(C324=0,0,E324/C324)</f>
        <v>0.1093967634302893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24567321.242433455</v>
      </c>
      <c r="D325" s="516">
        <f>LN_IV1+LN_IV2+LN_IV3</f>
        <v>16583756.933151061</v>
      </c>
      <c r="E325" s="441">
        <f>LN_IV4-C325</f>
        <v>-7983564.3092823941</v>
      </c>
      <c r="F325" s="449">
        <f>IF(C325=0,0,E325/C325)</f>
        <v>-0.32496682200308147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22800495</v>
      </c>
      <c r="D329" s="518">
        <v>22097704</v>
      </c>
      <c r="E329" s="518">
        <f t="shared" ref="E329:E335" si="34">D329-C329</f>
        <v>-702791</v>
      </c>
      <c r="F329" s="542">
        <f t="shared" ref="F329:F335" si="35">IF(C329=0,0,E329/C329)</f>
        <v>-3.0823497472313648E-2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9934276</v>
      </c>
      <c r="D330" s="516">
        <v>7499000</v>
      </c>
      <c r="E330" s="518">
        <f t="shared" si="34"/>
        <v>-2435276</v>
      </c>
      <c r="F330" s="543">
        <f t="shared" si="35"/>
        <v>-0.24513874991997403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402610000</v>
      </c>
      <c r="D331" s="516">
        <v>408148000</v>
      </c>
      <c r="E331" s="518">
        <f t="shared" si="34"/>
        <v>5538000</v>
      </c>
      <c r="F331" s="542">
        <f t="shared" si="35"/>
        <v>1.3755247013238618E-2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1306254000</v>
      </c>
      <c r="D333" s="516">
        <v>1401697000</v>
      </c>
      <c r="E333" s="518">
        <f t="shared" si="34"/>
        <v>95443000</v>
      </c>
      <c r="F333" s="542">
        <f t="shared" si="35"/>
        <v>7.3066187739903574E-2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42291000</v>
      </c>
      <c r="D335" s="516">
        <v>41730000</v>
      </c>
      <c r="E335" s="516">
        <f t="shared" si="34"/>
        <v>-561000</v>
      </c>
      <c r="F335" s="542">
        <f t="shared" si="35"/>
        <v>-1.3265233737674683E-2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FILING&amp;RSAINT VINCENT`S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217174512</v>
      </c>
      <c r="D14" s="589">
        <v>203993309</v>
      </c>
      <c r="E14" s="590">
        <f t="shared" ref="E14:E22" si="0">D14-C14</f>
        <v>-13181203</v>
      </c>
    </row>
    <row r="15" spans="1:5" s="421" customFormat="1" x14ac:dyDescent="0.2">
      <c r="A15" s="588">
        <v>2</v>
      </c>
      <c r="B15" s="587" t="s">
        <v>635</v>
      </c>
      <c r="C15" s="589">
        <v>442950139</v>
      </c>
      <c r="D15" s="591">
        <v>457581366</v>
      </c>
      <c r="E15" s="590">
        <f t="shared" si="0"/>
        <v>14631227</v>
      </c>
    </row>
    <row r="16" spans="1:5" s="421" customFormat="1" x14ac:dyDescent="0.2">
      <c r="A16" s="588">
        <v>3</v>
      </c>
      <c r="B16" s="587" t="s">
        <v>777</v>
      </c>
      <c r="C16" s="589">
        <v>163887773</v>
      </c>
      <c r="D16" s="591">
        <v>172614747</v>
      </c>
      <c r="E16" s="590">
        <f t="shared" si="0"/>
        <v>8726974</v>
      </c>
    </row>
    <row r="17" spans="1:5" s="421" customFormat="1" x14ac:dyDescent="0.2">
      <c r="A17" s="588">
        <v>4</v>
      </c>
      <c r="B17" s="587" t="s">
        <v>115</v>
      </c>
      <c r="C17" s="589">
        <v>161366399</v>
      </c>
      <c r="D17" s="591">
        <v>170360914</v>
      </c>
      <c r="E17" s="590">
        <f t="shared" si="0"/>
        <v>8994515</v>
      </c>
    </row>
    <row r="18" spans="1:5" s="421" customFormat="1" x14ac:dyDescent="0.2">
      <c r="A18" s="588">
        <v>5</v>
      </c>
      <c r="B18" s="587" t="s">
        <v>743</v>
      </c>
      <c r="C18" s="589">
        <v>2521374</v>
      </c>
      <c r="D18" s="591">
        <v>2253833</v>
      </c>
      <c r="E18" s="590">
        <f t="shared" si="0"/>
        <v>-267541</v>
      </c>
    </row>
    <row r="19" spans="1:5" s="421" customFormat="1" x14ac:dyDescent="0.2">
      <c r="A19" s="588">
        <v>6</v>
      </c>
      <c r="B19" s="587" t="s">
        <v>424</v>
      </c>
      <c r="C19" s="589">
        <v>430089</v>
      </c>
      <c r="D19" s="591">
        <v>324108</v>
      </c>
      <c r="E19" s="590">
        <f t="shared" si="0"/>
        <v>-105981</v>
      </c>
    </row>
    <row r="20" spans="1:5" s="421" customFormat="1" x14ac:dyDescent="0.2">
      <c r="A20" s="588">
        <v>7</v>
      </c>
      <c r="B20" s="587" t="s">
        <v>758</v>
      </c>
      <c r="C20" s="589">
        <v>21828716</v>
      </c>
      <c r="D20" s="591">
        <v>14813788</v>
      </c>
      <c r="E20" s="590">
        <f t="shared" si="0"/>
        <v>-7014928</v>
      </c>
    </row>
    <row r="21" spans="1:5" s="421" customFormat="1" x14ac:dyDescent="0.2">
      <c r="A21" s="588"/>
      <c r="B21" s="592" t="s">
        <v>778</v>
      </c>
      <c r="C21" s="593">
        <f>SUM(C15+C16+C19)</f>
        <v>607268001</v>
      </c>
      <c r="D21" s="593">
        <f>SUM(D15+D16+D19)</f>
        <v>630520221</v>
      </c>
      <c r="E21" s="593">
        <f t="shared" si="0"/>
        <v>23252220</v>
      </c>
    </row>
    <row r="22" spans="1:5" s="421" customFormat="1" x14ac:dyDescent="0.2">
      <c r="A22" s="588"/>
      <c r="B22" s="592" t="s">
        <v>465</v>
      </c>
      <c r="C22" s="593">
        <f>SUM(C14+C21)</f>
        <v>824442513</v>
      </c>
      <c r="D22" s="593">
        <f>SUM(D14+D21)</f>
        <v>834513530</v>
      </c>
      <c r="E22" s="593">
        <f t="shared" si="0"/>
        <v>10071017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189860192</v>
      </c>
      <c r="D25" s="589">
        <v>215032032</v>
      </c>
      <c r="E25" s="590">
        <f t="shared" ref="E25:E33" si="1">D25-C25</f>
        <v>25171840</v>
      </c>
    </row>
    <row r="26" spans="1:5" s="421" customFormat="1" x14ac:dyDescent="0.2">
      <c r="A26" s="588">
        <v>2</v>
      </c>
      <c r="B26" s="587" t="s">
        <v>635</v>
      </c>
      <c r="C26" s="589">
        <v>169245131</v>
      </c>
      <c r="D26" s="591">
        <v>212099305</v>
      </c>
      <c r="E26" s="590">
        <f t="shared" si="1"/>
        <v>42854174</v>
      </c>
    </row>
    <row r="27" spans="1:5" s="421" customFormat="1" x14ac:dyDescent="0.2">
      <c r="A27" s="588">
        <v>3</v>
      </c>
      <c r="B27" s="587" t="s">
        <v>777</v>
      </c>
      <c r="C27" s="589">
        <v>122353413</v>
      </c>
      <c r="D27" s="591">
        <v>139522312</v>
      </c>
      <c r="E27" s="590">
        <f t="shared" si="1"/>
        <v>17168899</v>
      </c>
    </row>
    <row r="28" spans="1:5" s="421" customFormat="1" x14ac:dyDescent="0.2">
      <c r="A28" s="588">
        <v>4</v>
      </c>
      <c r="B28" s="587" t="s">
        <v>115</v>
      </c>
      <c r="C28" s="589">
        <v>121007554</v>
      </c>
      <c r="D28" s="591">
        <v>137599379</v>
      </c>
      <c r="E28" s="590">
        <f t="shared" si="1"/>
        <v>16591825</v>
      </c>
    </row>
    <row r="29" spans="1:5" s="421" customFormat="1" x14ac:dyDescent="0.2">
      <c r="A29" s="588">
        <v>5</v>
      </c>
      <c r="B29" s="587" t="s">
        <v>743</v>
      </c>
      <c r="C29" s="589">
        <v>1345859</v>
      </c>
      <c r="D29" s="591">
        <v>1922933</v>
      </c>
      <c r="E29" s="590">
        <f t="shared" si="1"/>
        <v>577074</v>
      </c>
    </row>
    <row r="30" spans="1:5" s="421" customFormat="1" x14ac:dyDescent="0.2">
      <c r="A30" s="588">
        <v>6</v>
      </c>
      <c r="B30" s="587" t="s">
        <v>424</v>
      </c>
      <c r="C30" s="589">
        <v>352871</v>
      </c>
      <c r="D30" s="591">
        <v>529651</v>
      </c>
      <c r="E30" s="590">
        <f t="shared" si="1"/>
        <v>176780</v>
      </c>
    </row>
    <row r="31" spans="1:5" s="421" customFormat="1" x14ac:dyDescent="0.2">
      <c r="A31" s="588">
        <v>7</v>
      </c>
      <c r="B31" s="587" t="s">
        <v>758</v>
      </c>
      <c r="C31" s="590">
        <v>29623086</v>
      </c>
      <c r="D31" s="594">
        <v>33013706</v>
      </c>
      <c r="E31" s="590">
        <f t="shared" si="1"/>
        <v>3390620</v>
      </c>
    </row>
    <row r="32" spans="1:5" s="421" customFormat="1" x14ac:dyDescent="0.2">
      <c r="A32" s="588"/>
      <c r="B32" s="592" t="s">
        <v>780</v>
      </c>
      <c r="C32" s="593">
        <f>SUM(C26+C27+C30)</f>
        <v>291951415</v>
      </c>
      <c r="D32" s="593">
        <f>SUM(D26+D27+D30)</f>
        <v>352151268</v>
      </c>
      <c r="E32" s="593">
        <f t="shared" si="1"/>
        <v>60199853</v>
      </c>
    </row>
    <row r="33" spans="1:5" s="421" customFormat="1" x14ac:dyDescent="0.2">
      <c r="A33" s="588"/>
      <c r="B33" s="592" t="s">
        <v>467</v>
      </c>
      <c r="C33" s="593">
        <f>SUM(C25+C32)</f>
        <v>481811607</v>
      </c>
      <c r="D33" s="593">
        <f>SUM(D25+D32)</f>
        <v>567183300</v>
      </c>
      <c r="E33" s="593">
        <f t="shared" si="1"/>
        <v>85371693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407034704</v>
      </c>
      <c r="D36" s="590">
        <f t="shared" si="2"/>
        <v>419025341</v>
      </c>
      <c r="E36" s="590">
        <f t="shared" ref="E36:E44" si="3">D36-C36</f>
        <v>11990637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612195270</v>
      </c>
      <c r="D37" s="590">
        <f t="shared" si="2"/>
        <v>669680671</v>
      </c>
      <c r="E37" s="590">
        <f t="shared" si="3"/>
        <v>57485401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286241186</v>
      </c>
      <c r="D38" s="590">
        <f t="shared" si="2"/>
        <v>312137059</v>
      </c>
      <c r="E38" s="590">
        <f t="shared" si="3"/>
        <v>25895873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282373953</v>
      </c>
      <c r="D39" s="590">
        <f t="shared" si="2"/>
        <v>307960293</v>
      </c>
      <c r="E39" s="590">
        <f t="shared" si="3"/>
        <v>25586340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3867233</v>
      </c>
      <c r="D40" s="590">
        <f t="shared" si="2"/>
        <v>4176766</v>
      </c>
      <c r="E40" s="590">
        <f t="shared" si="3"/>
        <v>309533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782960</v>
      </c>
      <c r="D41" s="590">
        <f t="shared" si="2"/>
        <v>853759</v>
      </c>
      <c r="E41" s="590">
        <f t="shared" si="3"/>
        <v>70799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51451802</v>
      </c>
      <c r="D42" s="590">
        <f t="shared" si="2"/>
        <v>47827494</v>
      </c>
      <c r="E42" s="590">
        <f t="shared" si="3"/>
        <v>-3624308</v>
      </c>
    </row>
    <row r="43" spans="1:5" s="421" customFormat="1" x14ac:dyDescent="0.2">
      <c r="A43" s="588"/>
      <c r="B43" s="592" t="s">
        <v>788</v>
      </c>
      <c r="C43" s="593">
        <f>SUM(C37+C38+C41)</f>
        <v>899219416</v>
      </c>
      <c r="D43" s="593">
        <f>SUM(D37+D38+D41)</f>
        <v>982671489</v>
      </c>
      <c r="E43" s="593">
        <f t="shared" si="3"/>
        <v>83452073</v>
      </c>
    </row>
    <row r="44" spans="1:5" s="421" customFormat="1" x14ac:dyDescent="0.2">
      <c r="A44" s="588"/>
      <c r="B44" s="592" t="s">
        <v>725</v>
      </c>
      <c r="C44" s="593">
        <f>SUM(C36+C43)</f>
        <v>1306254120</v>
      </c>
      <c r="D44" s="593">
        <f>SUM(D36+D43)</f>
        <v>1401696830</v>
      </c>
      <c r="E44" s="593">
        <f t="shared" si="3"/>
        <v>95442710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100502649</v>
      </c>
      <c r="D47" s="589">
        <v>76906975</v>
      </c>
      <c r="E47" s="590">
        <f t="shared" ref="E47:E55" si="4">D47-C47</f>
        <v>-23595674</v>
      </c>
    </row>
    <row r="48" spans="1:5" s="421" customFormat="1" x14ac:dyDescent="0.2">
      <c r="A48" s="588">
        <v>2</v>
      </c>
      <c r="B48" s="587" t="s">
        <v>635</v>
      </c>
      <c r="C48" s="589">
        <v>102623605</v>
      </c>
      <c r="D48" s="591">
        <v>118330461</v>
      </c>
      <c r="E48" s="590">
        <f t="shared" si="4"/>
        <v>15706856</v>
      </c>
    </row>
    <row r="49" spans="1:5" s="421" customFormat="1" x14ac:dyDescent="0.2">
      <c r="A49" s="588">
        <v>3</v>
      </c>
      <c r="B49" s="587" t="s">
        <v>777</v>
      </c>
      <c r="C49" s="589">
        <v>32595569</v>
      </c>
      <c r="D49" s="591">
        <v>37915835</v>
      </c>
      <c r="E49" s="590">
        <f t="shared" si="4"/>
        <v>5320266</v>
      </c>
    </row>
    <row r="50" spans="1:5" s="421" customFormat="1" x14ac:dyDescent="0.2">
      <c r="A50" s="588">
        <v>4</v>
      </c>
      <c r="B50" s="587" t="s">
        <v>115</v>
      </c>
      <c r="C50" s="589">
        <v>32466881</v>
      </c>
      <c r="D50" s="591">
        <v>37313514</v>
      </c>
      <c r="E50" s="590">
        <f t="shared" si="4"/>
        <v>4846633</v>
      </c>
    </row>
    <row r="51" spans="1:5" s="421" customFormat="1" x14ac:dyDescent="0.2">
      <c r="A51" s="588">
        <v>5</v>
      </c>
      <c r="B51" s="587" t="s">
        <v>743</v>
      </c>
      <c r="C51" s="589">
        <v>128688</v>
      </c>
      <c r="D51" s="591">
        <v>602321</v>
      </c>
      <c r="E51" s="590">
        <f t="shared" si="4"/>
        <v>473633</v>
      </c>
    </row>
    <row r="52" spans="1:5" s="421" customFormat="1" x14ac:dyDescent="0.2">
      <c r="A52" s="588">
        <v>6</v>
      </c>
      <c r="B52" s="587" t="s">
        <v>424</v>
      </c>
      <c r="C52" s="589">
        <v>169349</v>
      </c>
      <c r="D52" s="591">
        <v>181193</v>
      </c>
      <c r="E52" s="590">
        <f t="shared" si="4"/>
        <v>11844</v>
      </c>
    </row>
    <row r="53" spans="1:5" s="421" customFormat="1" x14ac:dyDescent="0.2">
      <c r="A53" s="588">
        <v>7</v>
      </c>
      <c r="B53" s="587" t="s">
        <v>758</v>
      </c>
      <c r="C53" s="589">
        <v>2711717</v>
      </c>
      <c r="D53" s="591">
        <v>3001319</v>
      </c>
      <c r="E53" s="590">
        <f t="shared" si="4"/>
        <v>289602</v>
      </c>
    </row>
    <row r="54" spans="1:5" s="421" customFormat="1" x14ac:dyDescent="0.2">
      <c r="A54" s="588"/>
      <c r="B54" s="592" t="s">
        <v>790</v>
      </c>
      <c r="C54" s="593">
        <f>SUM(C48+C49+C52)</f>
        <v>135388523</v>
      </c>
      <c r="D54" s="593">
        <f>SUM(D48+D49+D52)</f>
        <v>156427489</v>
      </c>
      <c r="E54" s="593">
        <f t="shared" si="4"/>
        <v>21038966</v>
      </c>
    </row>
    <row r="55" spans="1:5" s="421" customFormat="1" x14ac:dyDescent="0.2">
      <c r="A55" s="588"/>
      <c r="B55" s="592" t="s">
        <v>466</v>
      </c>
      <c r="C55" s="593">
        <f>SUM(C47+C54)</f>
        <v>235891172</v>
      </c>
      <c r="D55" s="593">
        <f>SUM(D47+D54)</f>
        <v>233334464</v>
      </c>
      <c r="E55" s="593">
        <f t="shared" si="4"/>
        <v>-2556708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82668755</v>
      </c>
      <c r="D58" s="589">
        <v>83506835</v>
      </c>
      <c r="E58" s="590">
        <f t="shared" ref="E58:E66" si="5">D58-C58</f>
        <v>838080</v>
      </c>
    </row>
    <row r="59" spans="1:5" s="421" customFormat="1" x14ac:dyDescent="0.2">
      <c r="A59" s="588">
        <v>2</v>
      </c>
      <c r="B59" s="587" t="s">
        <v>635</v>
      </c>
      <c r="C59" s="589">
        <v>43570129</v>
      </c>
      <c r="D59" s="591">
        <v>46432423</v>
      </c>
      <c r="E59" s="590">
        <f t="shared" si="5"/>
        <v>2862294</v>
      </c>
    </row>
    <row r="60" spans="1:5" s="421" customFormat="1" x14ac:dyDescent="0.2">
      <c r="A60" s="588">
        <v>3</v>
      </c>
      <c r="B60" s="587" t="s">
        <v>777</v>
      </c>
      <c r="C60" s="589">
        <f>C61+C62</f>
        <v>30449806</v>
      </c>
      <c r="D60" s="591">
        <f>D61+D62</f>
        <v>37239408</v>
      </c>
      <c r="E60" s="590">
        <f t="shared" si="5"/>
        <v>6789602</v>
      </c>
    </row>
    <row r="61" spans="1:5" s="421" customFormat="1" x14ac:dyDescent="0.2">
      <c r="A61" s="588">
        <v>4</v>
      </c>
      <c r="B61" s="587" t="s">
        <v>115</v>
      </c>
      <c r="C61" s="589">
        <v>30325692</v>
      </c>
      <c r="D61" s="591">
        <v>37041345</v>
      </c>
      <c r="E61" s="590">
        <f t="shared" si="5"/>
        <v>6715653</v>
      </c>
    </row>
    <row r="62" spans="1:5" s="421" customFormat="1" x14ac:dyDescent="0.2">
      <c r="A62" s="588">
        <v>5</v>
      </c>
      <c r="B62" s="587" t="s">
        <v>743</v>
      </c>
      <c r="C62" s="589">
        <v>124114</v>
      </c>
      <c r="D62" s="591">
        <v>198063</v>
      </c>
      <c r="E62" s="590">
        <f t="shared" si="5"/>
        <v>73949</v>
      </c>
    </row>
    <row r="63" spans="1:5" s="421" customFormat="1" x14ac:dyDescent="0.2">
      <c r="A63" s="588">
        <v>6</v>
      </c>
      <c r="B63" s="587" t="s">
        <v>424</v>
      </c>
      <c r="C63" s="589">
        <v>96023</v>
      </c>
      <c r="D63" s="591">
        <v>136194</v>
      </c>
      <c r="E63" s="590">
        <f t="shared" si="5"/>
        <v>40171</v>
      </c>
    </row>
    <row r="64" spans="1:5" s="421" customFormat="1" x14ac:dyDescent="0.2">
      <c r="A64" s="588">
        <v>7</v>
      </c>
      <c r="B64" s="587" t="s">
        <v>758</v>
      </c>
      <c r="C64" s="589">
        <v>6483695</v>
      </c>
      <c r="D64" s="591">
        <v>8600270</v>
      </c>
      <c r="E64" s="590">
        <f t="shared" si="5"/>
        <v>2116575</v>
      </c>
    </row>
    <row r="65" spans="1:5" s="421" customFormat="1" x14ac:dyDescent="0.2">
      <c r="A65" s="588"/>
      <c r="B65" s="592" t="s">
        <v>792</v>
      </c>
      <c r="C65" s="593">
        <f>SUM(C59+C60+C63)</f>
        <v>74115958</v>
      </c>
      <c r="D65" s="593">
        <f>SUM(D59+D60+D63)</f>
        <v>83808025</v>
      </c>
      <c r="E65" s="593">
        <f t="shared" si="5"/>
        <v>9692067</v>
      </c>
    </row>
    <row r="66" spans="1:5" s="421" customFormat="1" x14ac:dyDescent="0.2">
      <c r="A66" s="588"/>
      <c r="B66" s="592" t="s">
        <v>468</v>
      </c>
      <c r="C66" s="593">
        <f>SUM(C58+C65)</f>
        <v>156784713</v>
      </c>
      <c r="D66" s="593">
        <f>SUM(D58+D65)</f>
        <v>167314860</v>
      </c>
      <c r="E66" s="593">
        <f t="shared" si="5"/>
        <v>10530147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183171404</v>
      </c>
      <c r="D69" s="590">
        <f t="shared" si="6"/>
        <v>160413810</v>
      </c>
      <c r="E69" s="590">
        <f t="shared" ref="E69:E77" si="7">D69-C69</f>
        <v>-22757594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146193734</v>
      </c>
      <c r="D70" s="590">
        <f t="shared" si="6"/>
        <v>164762884</v>
      </c>
      <c r="E70" s="590">
        <f t="shared" si="7"/>
        <v>18569150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63045375</v>
      </c>
      <c r="D71" s="590">
        <f t="shared" si="6"/>
        <v>75155243</v>
      </c>
      <c r="E71" s="590">
        <f t="shared" si="7"/>
        <v>12109868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62792573</v>
      </c>
      <c r="D72" s="590">
        <f t="shared" si="6"/>
        <v>74354859</v>
      </c>
      <c r="E72" s="590">
        <f t="shared" si="7"/>
        <v>11562286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252802</v>
      </c>
      <c r="D73" s="590">
        <f t="shared" si="6"/>
        <v>800384</v>
      </c>
      <c r="E73" s="590">
        <f t="shared" si="7"/>
        <v>547582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265372</v>
      </c>
      <c r="D74" s="590">
        <f t="shared" si="6"/>
        <v>317387</v>
      </c>
      <c r="E74" s="590">
        <f t="shared" si="7"/>
        <v>52015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9195412</v>
      </c>
      <c r="D75" s="590">
        <f t="shared" si="6"/>
        <v>11601589</v>
      </c>
      <c r="E75" s="590">
        <f t="shared" si="7"/>
        <v>2406177</v>
      </c>
    </row>
    <row r="76" spans="1:5" s="421" customFormat="1" x14ac:dyDescent="0.2">
      <c r="A76" s="588"/>
      <c r="B76" s="592" t="s">
        <v>793</v>
      </c>
      <c r="C76" s="593">
        <f>SUM(C70+C71+C74)</f>
        <v>209504481</v>
      </c>
      <c r="D76" s="593">
        <f>SUM(D70+D71+D74)</f>
        <v>240235514</v>
      </c>
      <c r="E76" s="593">
        <f t="shared" si="7"/>
        <v>30731033</v>
      </c>
    </row>
    <row r="77" spans="1:5" s="421" customFormat="1" x14ac:dyDescent="0.2">
      <c r="A77" s="588"/>
      <c r="B77" s="592" t="s">
        <v>726</v>
      </c>
      <c r="C77" s="593">
        <f>SUM(C69+C76)</f>
        <v>392675885</v>
      </c>
      <c r="D77" s="593">
        <f>SUM(D69+D76)</f>
        <v>400649324</v>
      </c>
      <c r="E77" s="593">
        <f t="shared" si="7"/>
        <v>7973439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0.16625747523001114</v>
      </c>
      <c r="D83" s="599">
        <f t="shared" si="8"/>
        <v>0.14553311717199219</v>
      </c>
      <c r="E83" s="599">
        <f t="shared" ref="E83:E91" si="9">D83-C83</f>
        <v>-2.0724358058018949E-2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0.33909951533779659</v>
      </c>
      <c r="D84" s="599">
        <f t="shared" si="8"/>
        <v>0.32644817067896204</v>
      </c>
      <c r="E84" s="599">
        <f t="shared" si="9"/>
        <v>-1.2651344658834551E-2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0.12546392810611767</v>
      </c>
      <c r="D85" s="599">
        <f t="shared" si="8"/>
        <v>0.12314699106510785</v>
      </c>
      <c r="E85" s="599">
        <f t="shared" si="9"/>
        <v>-2.3169370410098256E-3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0.12353369572530037</v>
      </c>
      <c r="D86" s="599">
        <f t="shared" si="8"/>
        <v>0.12153905919869991</v>
      </c>
      <c r="E86" s="599">
        <f t="shared" si="9"/>
        <v>-1.9946365266004656E-3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1.9302323808172946E-3</v>
      </c>
      <c r="D87" s="599">
        <f t="shared" si="8"/>
        <v>1.6079318664079449E-3</v>
      </c>
      <c r="E87" s="599">
        <f t="shared" si="9"/>
        <v>-3.2230051440934973E-4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3.2925369835388541E-4</v>
      </c>
      <c r="D88" s="599">
        <f t="shared" si="8"/>
        <v>2.3122546406843198E-4</v>
      </c>
      <c r="E88" s="599">
        <f t="shared" si="9"/>
        <v>-9.8028234285453428E-5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1.6710926048600711E-2</v>
      </c>
      <c r="D89" s="599">
        <f t="shared" si="8"/>
        <v>1.0568467933254867E-2</v>
      </c>
      <c r="E89" s="599">
        <f t="shared" si="9"/>
        <v>-6.1424581153458439E-3</v>
      </c>
    </row>
    <row r="90" spans="1:5" s="421" customFormat="1" x14ac:dyDescent="0.2">
      <c r="A90" s="588"/>
      <c r="B90" s="592" t="s">
        <v>796</v>
      </c>
      <c r="C90" s="600">
        <f>SUM(C84+C85+C88)</f>
        <v>0.46489269714226816</v>
      </c>
      <c r="D90" s="600">
        <f>SUM(D84+D85+D88)</f>
        <v>0.44982638720813833</v>
      </c>
      <c r="E90" s="601">
        <f t="shared" si="9"/>
        <v>-1.5066309934129829E-2</v>
      </c>
    </row>
    <row r="91" spans="1:5" s="421" customFormat="1" x14ac:dyDescent="0.2">
      <c r="A91" s="588"/>
      <c r="B91" s="592" t="s">
        <v>797</v>
      </c>
      <c r="C91" s="600">
        <f>SUM(C83+C90)</f>
        <v>0.63115017237227933</v>
      </c>
      <c r="D91" s="600">
        <f>SUM(D83+D90)</f>
        <v>0.59535950438013052</v>
      </c>
      <c r="E91" s="601">
        <f t="shared" si="9"/>
        <v>-3.5790667992148806E-2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0.14534705697234471</v>
      </c>
      <c r="D95" s="599">
        <f t="shared" si="10"/>
        <v>0.15340837433441296</v>
      </c>
      <c r="E95" s="599">
        <f t="shared" ref="E95:E103" si="11">D95-C95</f>
        <v>8.0613173620682488E-3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0.12956524186886392</v>
      </c>
      <c r="D96" s="599">
        <f t="shared" si="10"/>
        <v>0.15131610520942679</v>
      </c>
      <c r="E96" s="599">
        <f t="shared" si="11"/>
        <v>2.1750863340562865E-2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9.366738916008166E-2</v>
      </c>
      <c r="D97" s="599">
        <f t="shared" si="10"/>
        <v>9.9538151912635778E-2</v>
      </c>
      <c r="E97" s="599">
        <f t="shared" si="11"/>
        <v>5.8707627525541178E-3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9.2637069730352309E-2</v>
      </c>
      <c r="D98" s="599">
        <f t="shared" si="10"/>
        <v>9.8166291065950401E-2</v>
      </c>
      <c r="E98" s="599">
        <f t="shared" si="11"/>
        <v>5.5292213355980918E-3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1.0303194297293394E-3</v>
      </c>
      <c r="D99" s="599">
        <f t="shared" si="10"/>
        <v>1.3718608466853706E-3</v>
      </c>
      <c r="E99" s="599">
        <f t="shared" si="11"/>
        <v>3.4154141695603123E-4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2.7013962643042226E-4</v>
      </c>
      <c r="D100" s="599">
        <f t="shared" si="10"/>
        <v>3.778641633940201E-4</v>
      </c>
      <c r="E100" s="599">
        <f t="shared" si="11"/>
        <v>1.0772453696359784E-4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2.2677889046581533E-2</v>
      </c>
      <c r="D101" s="599">
        <f t="shared" si="10"/>
        <v>2.3552672227988132E-2</v>
      </c>
      <c r="E101" s="599">
        <f t="shared" si="11"/>
        <v>8.7478318140659858E-4</v>
      </c>
    </row>
    <row r="102" spans="1:5" s="421" customFormat="1" x14ac:dyDescent="0.2">
      <c r="A102" s="588"/>
      <c r="B102" s="592" t="s">
        <v>799</v>
      </c>
      <c r="C102" s="600">
        <f>SUM(C96+C97+C100)</f>
        <v>0.22350277065537599</v>
      </c>
      <c r="D102" s="600">
        <f>SUM(D96+D97+D100)</f>
        <v>0.25123212128545658</v>
      </c>
      <c r="E102" s="601">
        <f t="shared" si="11"/>
        <v>2.7729350630080585E-2</v>
      </c>
    </row>
    <row r="103" spans="1:5" s="421" customFormat="1" x14ac:dyDescent="0.2">
      <c r="A103" s="588"/>
      <c r="B103" s="592" t="s">
        <v>800</v>
      </c>
      <c r="C103" s="600">
        <f>SUM(C95+C102)</f>
        <v>0.36884982762772067</v>
      </c>
      <c r="D103" s="600">
        <f>SUM(D95+D102)</f>
        <v>0.40464049561986953</v>
      </c>
      <c r="E103" s="601">
        <f t="shared" si="11"/>
        <v>3.5790667992148861E-2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0.25594301264514879</v>
      </c>
      <c r="D109" s="599">
        <f t="shared" si="12"/>
        <v>0.19195583367563601</v>
      </c>
      <c r="E109" s="599">
        <f t="shared" ref="E109:E117" si="13">D109-C109</f>
        <v>-6.3987178969512781E-2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0.26134430180249035</v>
      </c>
      <c r="D110" s="599">
        <f t="shared" si="12"/>
        <v>0.29534671322695155</v>
      </c>
      <c r="E110" s="599">
        <f t="shared" si="13"/>
        <v>3.4002411424461199E-2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8.3008838192342782E-2</v>
      </c>
      <c r="D111" s="599">
        <f t="shared" si="12"/>
        <v>9.4635963993290051E-2</v>
      </c>
      <c r="E111" s="599">
        <f t="shared" si="13"/>
        <v>1.1627125800947269E-2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8.2681117532847737E-2</v>
      </c>
      <c r="D112" s="599">
        <f t="shared" si="12"/>
        <v>9.313260191598377E-2</v>
      </c>
      <c r="E112" s="599">
        <f t="shared" si="13"/>
        <v>1.0451484383136034E-2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3.2772065949504385E-4</v>
      </c>
      <c r="D113" s="599">
        <f t="shared" si="12"/>
        <v>1.5033620773062879E-3</v>
      </c>
      <c r="E113" s="599">
        <f t="shared" si="13"/>
        <v>1.1756414178112442E-3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4.3126916235255953E-4</v>
      </c>
      <c r="D114" s="599">
        <f t="shared" si="12"/>
        <v>4.5224836071357005E-4</v>
      </c>
      <c r="E114" s="599">
        <f t="shared" si="13"/>
        <v>2.0979198361010523E-5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6.9057385584042168E-3</v>
      </c>
      <c r="D115" s="599">
        <f t="shared" si="12"/>
        <v>7.4911370622954051E-3</v>
      </c>
      <c r="E115" s="599">
        <f t="shared" si="13"/>
        <v>5.8539850389118832E-4</v>
      </c>
    </row>
    <row r="116" spans="1:5" s="421" customFormat="1" x14ac:dyDescent="0.2">
      <c r="A116" s="588"/>
      <c r="B116" s="592" t="s">
        <v>796</v>
      </c>
      <c r="C116" s="600">
        <f>SUM(C110+C111+C114)</f>
        <v>0.34478440915718567</v>
      </c>
      <c r="D116" s="600">
        <f>SUM(D110+D111+D114)</f>
        <v>0.39043492558095516</v>
      </c>
      <c r="E116" s="601">
        <f t="shared" si="13"/>
        <v>4.5650516423769494E-2</v>
      </c>
    </row>
    <row r="117" spans="1:5" s="421" customFormat="1" x14ac:dyDescent="0.2">
      <c r="A117" s="588"/>
      <c r="B117" s="592" t="s">
        <v>797</v>
      </c>
      <c r="C117" s="600">
        <f>SUM(C109+C116)</f>
        <v>0.6007274218023344</v>
      </c>
      <c r="D117" s="600">
        <f>SUM(D109+D116)</f>
        <v>0.58239075925659112</v>
      </c>
      <c r="E117" s="601">
        <f t="shared" si="13"/>
        <v>-1.8336662545743287E-2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0.21052669175241051</v>
      </c>
      <c r="D121" s="599">
        <f t="shared" si="14"/>
        <v>0.20842874303714037</v>
      </c>
      <c r="E121" s="599">
        <f t="shared" ref="E121:E129" si="15">D121-C121</f>
        <v>-2.097948715270137E-3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0.11095697664245412</v>
      </c>
      <c r="D122" s="599">
        <f t="shared" si="14"/>
        <v>0.11589292735210006</v>
      </c>
      <c r="E122" s="599">
        <f t="shared" si="15"/>
        <v>4.9359507096459476E-3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7.7544374796532256E-2</v>
      </c>
      <c r="D123" s="599">
        <f t="shared" si="14"/>
        <v>9.294763717110377E-2</v>
      </c>
      <c r="E123" s="599">
        <f t="shared" si="15"/>
        <v>1.5403262374571514E-2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7.7228302420455489E-2</v>
      </c>
      <c r="D124" s="599">
        <f t="shared" si="14"/>
        <v>9.2453282162532735E-2</v>
      </c>
      <c r="E124" s="599">
        <f t="shared" si="15"/>
        <v>1.5224979742077246E-2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3.1607237607677387E-4</v>
      </c>
      <c r="D125" s="599">
        <f t="shared" si="14"/>
        <v>4.943550085710366E-4</v>
      </c>
      <c r="E125" s="599">
        <f t="shared" si="15"/>
        <v>1.7828263249426273E-4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2.4453500626859224E-4</v>
      </c>
      <c r="D126" s="599">
        <f t="shared" si="14"/>
        <v>3.3993318306459939E-4</v>
      </c>
      <c r="E126" s="599">
        <f t="shared" si="15"/>
        <v>9.5398176796007152E-5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1.6511569076873667E-2</v>
      </c>
      <c r="D127" s="599">
        <f t="shared" si="14"/>
        <v>2.1465829304631499E-2</v>
      </c>
      <c r="E127" s="599">
        <f t="shared" si="15"/>
        <v>4.954260227757832E-3</v>
      </c>
    </row>
    <row r="128" spans="1:5" s="421" customFormat="1" x14ac:dyDescent="0.2">
      <c r="A128" s="588"/>
      <c r="B128" s="592" t="s">
        <v>799</v>
      </c>
      <c r="C128" s="600">
        <f>SUM(C122+C123+C126)</f>
        <v>0.18874588644525497</v>
      </c>
      <c r="D128" s="600">
        <f>SUM(D122+D123+D126)</f>
        <v>0.20918049770626843</v>
      </c>
      <c r="E128" s="601">
        <f t="shared" si="15"/>
        <v>2.0434611261013452E-2</v>
      </c>
    </row>
    <row r="129" spans="1:5" s="421" customFormat="1" x14ac:dyDescent="0.2">
      <c r="A129" s="588"/>
      <c r="B129" s="592" t="s">
        <v>800</v>
      </c>
      <c r="C129" s="600">
        <f>SUM(C121+C128)</f>
        <v>0.39927257819766548</v>
      </c>
      <c r="D129" s="600">
        <f>SUM(D121+D128)</f>
        <v>0.41760924074340877</v>
      </c>
      <c r="E129" s="601">
        <f t="shared" si="15"/>
        <v>1.8336662545743287E-2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0.99999999999999989</v>
      </c>
      <c r="D131" s="601">
        <f>D117+D129</f>
        <v>0.99999999999999989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5278</v>
      </c>
      <c r="D137" s="606">
        <v>4936</v>
      </c>
      <c r="E137" s="607">
        <f t="shared" ref="E137:E145" si="16">D137-C137</f>
        <v>-342</v>
      </c>
    </row>
    <row r="138" spans="1:5" s="421" customFormat="1" x14ac:dyDescent="0.2">
      <c r="A138" s="588">
        <v>2</v>
      </c>
      <c r="B138" s="587" t="s">
        <v>635</v>
      </c>
      <c r="C138" s="606">
        <v>8262</v>
      </c>
      <c r="D138" s="606">
        <v>7702</v>
      </c>
      <c r="E138" s="607">
        <f t="shared" si="16"/>
        <v>-560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4749</v>
      </c>
      <c r="D139" s="606">
        <f>D140+D141</f>
        <v>4517</v>
      </c>
      <c r="E139" s="607">
        <f t="shared" si="16"/>
        <v>-232</v>
      </c>
    </row>
    <row r="140" spans="1:5" s="421" customFormat="1" x14ac:dyDescent="0.2">
      <c r="A140" s="588">
        <v>4</v>
      </c>
      <c r="B140" s="587" t="s">
        <v>115</v>
      </c>
      <c r="C140" s="606">
        <v>4699</v>
      </c>
      <c r="D140" s="606">
        <v>4455</v>
      </c>
      <c r="E140" s="607">
        <f t="shared" si="16"/>
        <v>-244</v>
      </c>
    </row>
    <row r="141" spans="1:5" s="421" customFormat="1" x14ac:dyDescent="0.2">
      <c r="A141" s="588">
        <v>5</v>
      </c>
      <c r="B141" s="587" t="s">
        <v>743</v>
      </c>
      <c r="C141" s="606">
        <v>50</v>
      </c>
      <c r="D141" s="606">
        <v>62</v>
      </c>
      <c r="E141" s="607">
        <f t="shared" si="16"/>
        <v>12</v>
      </c>
    </row>
    <row r="142" spans="1:5" s="421" customFormat="1" x14ac:dyDescent="0.2">
      <c r="A142" s="588">
        <v>6</v>
      </c>
      <c r="B142" s="587" t="s">
        <v>424</v>
      </c>
      <c r="C142" s="606">
        <v>19</v>
      </c>
      <c r="D142" s="606">
        <v>17</v>
      </c>
      <c r="E142" s="607">
        <f t="shared" si="16"/>
        <v>-2</v>
      </c>
    </row>
    <row r="143" spans="1:5" s="421" customFormat="1" x14ac:dyDescent="0.2">
      <c r="A143" s="588">
        <v>7</v>
      </c>
      <c r="B143" s="587" t="s">
        <v>758</v>
      </c>
      <c r="C143" s="606">
        <v>521</v>
      </c>
      <c r="D143" s="606">
        <v>433</v>
      </c>
      <c r="E143" s="607">
        <f t="shared" si="16"/>
        <v>-88</v>
      </c>
    </row>
    <row r="144" spans="1:5" s="421" customFormat="1" x14ac:dyDescent="0.2">
      <c r="A144" s="588"/>
      <c r="B144" s="592" t="s">
        <v>807</v>
      </c>
      <c r="C144" s="608">
        <f>SUM(C138+C139+C142)</f>
        <v>13030</v>
      </c>
      <c r="D144" s="608">
        <f>SUM(D138+D139+D142)</f>
        <v>12236</v>
      </c>
      <c r="E144" s="609">
        <f t="shared" si="16"/>
        <v>-794</v>
      </c>
    </row>
    <row r="145" spans="1:5" s="421" customFormat="1" x14ac:dyDescent="0.2">
      <c r="A145" s="588"/>
      <c r="B145" s="592" t="s">
        <v>138</v>
      </c>
      <c r="C145" s="608">
        <f>SUM(C137+C144)</f>
        <v>18308</v>
      </c>
      <c r="D145" s="608">
        <f>SUM(D137+D144)</f>
        <v>17172</v>
      </c>
      <c r="E145" s="609">
        <f t="shared" si="16"/>
        <v>-1136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25540</v>
      </c>
      <c r="D149" s="610">
        <v>22596</v>
      </c>
      <c r="E149" s="607">
        <f t="shared" ref="E149:E157" si="17">D149-C149</f>
        <v>-2944</v>
      </c>
    </row>
    <row r="150" spans="1:5" s="421" customFormat="1" x14ac:dyDescent="0.2">
      <c r="A150" s="588">
        <v>2</v>
      </c>
      <c r="B150" s="587" t="s">
        <v>635</v>
      </c>
      <c r="C150" s="610">
        <v>55120</v>
      </c>
      <c r="D150" s="610">
        <v>49233</v>
      </c>
      <c r="E150" s="607">
        <f t="shared" si="17"/>
        <v>-5887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30427</v>
      </c>
      <c r="D151" s="610">
        <f>D152+D153</f>
        <v>26374</v>
      </c>
      <c r="E151" s="607">
        <f t="shared" si="17"/>
        <v>-4053</v>
      </c>
    </row>
    <row r="152" spans="1:5" s="421" customFormat="1" x14ac:dyDescent="0.2">
      <c r="A152" s="588">
        <v>4</v>
      </c>
      <c r="B152" s="587" t="s">
        <v>115</v>
      </c>
      <c r="C152" s="610">
        <v>30133</v>
      </c>
      <c r="D152" s="610">
        <v>26069</v>
      </c>
      <c r="E152" s="607">
        <f t="shared" si="17"/>
        <v>-4064</v>
      </c>
    </row>
    <row r="153" spans="1:5" s="421" customFormat="1" x14ac:dyDescent="0.2">
      <c r="A153" s="588">
        <v>5</v>
      </c>
      <c r="B153" s="587" t="s">
        <v>743</v>
      </c>
      <c r="C153" s="611">
        <v>294</v>
      </c>
      <c r="D153" s="610">
        <v>305</v>
      </c>
      <c r="E153" s="607">
        <f t="shared" si="17"/>
        <v>11</v>
      </c>
    </row>
    <row r="154" spans="1:5" s="421" customFormat="1" x14ac:dyDescent="0.2">
      <c r="A154" s="588">
        <v>6</v>
      </c>
      <c r="B154" s="587" t="s">
        <v>424</v>
      </c>
      <c r="C154" s="610">
        <v>58</v>
      </c>
      <c r="D154" s="610">
        <v>68</v>
      </c>
      <c r="E154" s="607">
        <f t="shared" si="17"/>
        <v>10</v>
      </c>
    </row>
    <row r="155" spans="1:5" s="421" customFormat="1" x14ac:dyDescent="0.2">
      <c r="A155" s="588">
        <v>7</v>
      </c>
      <c r="B155" s="587" t="s">
        <v>758</v>
      </c>
      <c r="C155" s="610">
        <v>2357</v>
      </c>
      <c r="D155" s="610">
        <v>2448</v>
      </c>
      <c r="E155" s="607">
        <f t="shared" si="17"/>
        <v>91</v>
      </c>
    </row>
    <row r="156" spans="1:5" s="421" customFormat="1" x14ac:dyDescent="0.2">
      <c r="A156" s="588"/>
      <c r="B156" s="592" t="s">
        <v>808</v>
      </c>
      <c r="C156" s="608">
        <f>SUM(C150+C151+C154)</f>
        <v>85605</v>
      </c>
      <c r="D156" s="608">
        <f>SUM(D150+D151+D154)</f>
        <v>75675</v>
      </c>
      <c r="E156" s="609">
        <f t="shared" si="17"/>
        <v>-9930</v>
      </c>
    </row>
    <row r="157" spans="1:5" s="421" customFormat="1" x14ac:dyDescent="0.2">
      <c r="A157" s="588"/>
      <c r="B157" s="592" t="s">
        <v>140</v>
      </c>
      <c r="C157" s="608">
        <f>SUM(C149+C156)</f>
        <v>111145</v>
      </c>
      <c r="D157" s="608">
        <f>SUM(D149+D156)</f>
        <v>98271</v>
      </c>
      <c r="E157" s="609">
        <f t="shared" si="17"/>
        <v>-12874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4.8389541492989769</v>
      </c>
      <c r="D161" s="612">
        <f t="shared" si="18"/>
        <v>4.5777957860615883</v>
      </c>
      <c r="E161" s="613">
        <f t="shared" ref="E161:E169" si="19">D161-C161</f>
        <v>-0.26115836323738861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6.6715081094166058</v>
      </c>
      <c r="D162" s="612">
        <f t="shared" si="18"/>
        <v>6.392235782913529</v>
      </c>
      <c r="E162" s="613">
        <f t="shared" si="19"/>
        <v>-0.27927232650307676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6.4070330595914928</v>
      </c>
      <c r="D163" s="612">
        <f t="shared" si="18"/>
        <v>5.8388310825769318</v>
      </c>
      <c r="E163" s="613">
        <f t="shared" si="19"/>
        <v>-0.56820197701456099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6.4126409874441368</v>
      </c>
      <c r="D164" s="612">
        <f t="shared" si="18"/>
        <v>5.8516273849607181</v>
      </c>
      <c r="E164" s="613">
        <f t="shared" si="19"/>
        <v>-0.56101360248341869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5.88</v>
      </c>
      <c r="D165" s="612">
        <f t="shared" si="18"/>
        <v>4.919354838709677</v>
      </c>
      <c r="E165" s="613">
        <f t="shared" si="19"/>
        <v>-0.96064516129032285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3.0526315789473686</v>
      </c>
      <c r="D166" s="612">
        <f t="shared" si="18"/>
        <v>4</v>
      </c>
      <c r="E166" s="613">
        <f t="shared" si="19"/>
        <v>0.94736842105263142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4.5239923224568139</v>
      </c>
      <c r="D167" s="612">
        <f t="shared" si="18"/>
        <v>5.6535796766743651</v>
      </c>
      <c r="E167" s="613">
        <f t="shared" si="19"/>
        <v>1.1295873542175512</v>
      </c>
    </row>
    <row r="168" spans="1:5" s="421" customFormat="1" x14ac:dyDescent="0.2">
      <c r="A168" s="588"/>
      <c r="B168" s="592" t="s">
        <v>810</v>
      </c>
      <c r="C168" s="614">
        <f t="shared" si="18"/>
        <v>6.569838833461243</v>
      </c>
      <c r="D168" s="614">
        <f t="shared" si="18"/>
        <v>6.1846191565871198</v>
      </c>
      <c r="E168" s="615">
        <f t="shared" si="19"/>
        <v>-0.38521967687412317</v>
      </c>
    </row>
    <row r="169" spans="1:5" s="421" customFormat="1" x14ac:dyDescent="0.2">
      <c r="A169" s="588"/>
      <c r="B169" s="592" t="s">
        <v>744</v>
      </c>
      <c r="C169" s="614">
        <f t="shared" si="18"/>
        <v>6.0708433471706362</v>
      </c>
      <c r="D169" s="614">
        <f t="shared" si="18"/>
        <v>5.7227463312368974</v>
      </c>
      <c r="E169" s="615">
        <f t="shared" si="19"/>
        <v>-0.34809701593373887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1.4165000000000001</v>
      </c>
      <c r="D173" s="617">
        <f t="shared" si="20"/>
        <v>1.3996</v>
      </c>
      <c r="E173" s="618">
        <f t="shared" ref="E173:E181" si="21">D173-C173</f>
        <v>-1.6900000000000137E-2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1.5427</v>
      </c>
      <c r="D174" s="617">
        <f t="shared" si="20"/>
        <v>1.6884999999999999</v>
      </c>
      <c r="E174" s="618">
        <f t="shared" si="21"/>
        <v>0.14579999999999993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1.1376472941671931</v>
      </c>
      <c r="D175" s="617">
        <f t="shared" si="20"/>
        <v>1.1439917423068409</v>
      </c>
      <c r="E175" s="618">
        <f t="shared" si="21"/>
        <v>6.3444481396477403E-3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1.1379999999999999</v>
      </c>
      <c r="D176" s="617">
        <f t="shared" si="20"/>
        <v>1.1447000000000001</v>
      </c>
      <c r="E176" s="618">
        <f t="shared" si="21"/>
        <v>6.7000000000001503E-3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1.1045</v>
      </c>
      <c r="D177" s="617">
        <f t="shared" si="20"/>
        <v>1.0931</v>
      </c>
      <c r="E177" s="618">
        <f t="shared" si="21"/>
        <v>-1.1400000000000077E-2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1.0709</v>
      </c>
      <c r="D178" s="617">
        <f t="shared" si="20"/>
        <v>0.91410000000000002</v>
      </c>
      <c r="E178" s="618">
        <f t="shared" si="21"/>
        <v>-0.15679999999999994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1.2241</v>
      </c>
      <c r="D179" s="617">
        <f t="shared" si="20"/>
        <v>1.3635999999999999</v>
      </c>
      <c r="E179" s="618">
        <f t="shared" si="21"/>
        <v>0.13949999999999996</v>
      </c>
    </row>
    <row r="180" spans="1:5" s="421" customFormat="1" x14ac:dyDescent="0.2">
      <c r="A180" s="588"/>
      <c r="B180" s="592" t="s">
        <v>812</v>
      </c>
      <c r="C180" s="619">
        <f t="shared" si="20"/>
        <v>1.3943838449731387</v>
      </c>
      <c r="D180" s="619">
        <f t="shared" si="20"/>
        <v>1.4864152827721477</v>
      </c>
      <c r="E180" s="620">
        <f t="shared" si="21"/>
        <v>9.2031437799009019E-2</v>
      </c>
    </row>
    <row r="181" spans="1:5" s="421" customFormat="1" x14ac:dyDescent="0.2">
      <c r="A181" s="588"/>
      <c r="B181" s="592" t="s">
        <v>723</v>
      </c>
      <c r="C181" s="619">
        <f t="shared" si="20"/>
        <v>1.4007596952152064</v>
      </c>
      <c r="D181" s="619">
        <f t="shared" si="20"/>
        <v>1.4614606918238993</v>
      </c>
      <c r="E181" s="620">
        <f t="shared" si="21"/>
        <v>6.0700996608692881E-2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814</v>
      </c>
      <c r="C185" s="589">
        <v>344004037</v>
      </c>
      <c r="D185" s="589">
        <v>357664622</v>
      </c>
      <c r="E185" s="590">
        <f>D185-C185</f>
        <v>13660585</v>
      </c>
    </row>
    <row r="186" spans="1:5" s="421" customFormat="1" ht="25.5" x14ac:dyDescent="0.2">
      <c r="A186" s="588">
        <v>2</v>
      </c>
      <c r="B186" s="587" t="s">
        <v>815</v>
      </c>
      <c r="C186" s="589">
        <v>165093192</v>
      </c>
      <c r="D186" s="589">
        <v>142684535</v>
      </c>
      <c r="E186" s="590">
        <f>D186-C186</f>
        <v>-22408657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178910845</v>
      </c>
      <c r="D188" s="622">
        <f>+D185-D186</f>
        <v>214980087</v>
      </c>
      <c r="E188" s="590">
        <f t="shared" ref="E188:E197" si="22">D188-C188</f>
        <v>36069242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0.52008356227517183</v>
      </c>
      <c r="D189" s="623">
        <f>IF(D185=0,0,+D188/D185)</f>
        <v>0.60106612109933533</v>
      </c>
      <c r="E189" s="599">
        <f t="shared" si="22"/>
        <v>8.0982558824163497E-2</v>
      </c>
    </row>
    <row r="190" spans="1:5" s="421" customFormat="1" x14ac:dyDescent="0.2">
      <c r="A190" s="588">
        <v>5</v>
      </c>
      <c r="B190" s="587" t="s">
        <v>762</v>
      </c>
      <c r="C190" s="589">
        <v>22800495</v>
      </c>
      <c r="D190" s="589">
        <v>22097704</v>
      </c>
      <c r="E190" s="622">
        <f t="shared" si="22"/>
        <v>-702791</v>
      </c>
    </row>
    <row r="191" spans="1:5" s="421" customFormat="1" x14ac:dyDescent="0.2">
      <c r="A191" s="588">
        <v>6</v>
      </c>
      <c r="B191" s="587" t="s">
        <v>748</v>
      </c>
      <c r="C191" s="589">
        <v>9459570</v>
      </c>
      <c r="D191" s="589">
        <v>6681394</v>
      </c>
      <c r="E191" s="622">
        <f t="shared" si="22"/>
        <v>-2778176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21773000</v>
      </c>
      <c r="D193" s="589">
        <v>22570000</v>
      </c>
      <c r="E193" s="622">
        <f t="shared" si="22"/>
        <v>797000</v>
      </c>
    </row>
    <row r="194" spans="1:5" s="421" customFormat="1" x14ac:dyDescent="0.2">
      <c r="A194" s="588">
        <v>9</v>
      </c>
      <c r="B194" s="587" t="s">
        <v>818</v>
      </c>
      <c r="C194" s="589">
        <v>20518000</v>
      </c>
      <c r="D194" s="589">
        <v>19160000</v>
      </c>
      <c r="E194" s="622">
        <f t="shared" si="22"/>
        <v>-1358000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42291000</v>
      </c>
      <c r="D195" s="589">
        <f>+D193+D194</f>
        <v>41730000</v>
      </c>
      <c r="E195" s="625">
        <f t="shared" si="22"/>
        <v>-561000</v>
      </c>
    </row>
    <row r="196" spans="1:5" s="421" customFormat="1" x14ac:dyDescent="0.2">
      <c r="A196" s="588">
        <v>11</v>
      </c>
      <c r="B196" s="587" t="s">
        <v>820</v>
      </c>
      <c r="C196" s="589">
        <v>20518000</v>
      </c>
      <c r="D196" s="589">
        <v>21304000</v>
      </c>
      <c r="E196" s="622">
        <f t="shared" si="22"/>
        <v>786000</v>
      </c>
    </row>
    <row r="197" spans="1:5" s="421" customFormat="1" x14ac:dyDescent="0.2">
      <c r="A197" s="588">
        <v>12</v>
      </c>
      <c r="B197" s="587" t="s">
        <v>710</v>
      </c>
      <c r="C197" s="589">
        <v>424794000</v>
      </c>
      <c r="D197" s="589">
        <v>435859000</v>
      </c>
      <c r="E197" s="622">
        <f t="shared" si="22"/>
        <v>11065000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7476.2870000000003</v>
      </c>
      <c r="D203" s="629">
        <v>6908.4255999999996</v>
      </c>
      <c r="E203" s="630">
        <f t="shared" ref="E203:E211" si="23">D203-C203</f>
        <v>-567.86140000000069</v>
      </c>
    </row>
    <row r="204" spans="1:5" s="421" customFormat="1" x14ac:dyDescent="0.2">
      <c r="A204" s="588">
        <v>2</v>
      </c>
      <c r="B204" s="587" t="s">
        <v>635</v>
      </c>
      <c r="C204" s="629">
        <v>12745.787399999999</v>
      </c>
      <c r="D204" s="629">
        <v>13004.826999999999</v>
      </c>
      <c r="E204" s="630">
        <f t="shared" si="23"/>
        <v>259.03960000000006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5402.6869999999999</v>
      </c>
      <c r="D205" s="629">
        <f>D206+D207</f>
        <v>5167.4107000000004</v>
      </c>
      <c r="E205" s="630">
        <f t="shared" si="23"/>
        <v>-235.27629999999954</v>
      </c>
    </row>
    <row r="206" spans="1:5" s="421" customFormat="1" x14ac:dyDescent="0.2">
      <c r="A206" s="588">
        <v>4</v>
      </c>
      <c r="B206" s="587" t="s">
        <v>115</v>
      </c>
      <c r="C206" s="629">
        <v>5347.4619999999995</v>
      </c>
      <c r="D206" s="629">
        <v>5099.6385</v>
      </c>
      <c r="E206" s="630">
        <f t="shared" si="23"/>
        <v>-247.82349999999951</v>
      </c>
    </row>
    <row r="207" spans="1:5" s="421" customFormat="1" x14ac:dyDescent="0.2">
      <c r="A207" s="588">
        <v>5</v>
      </c>
      <c r="B207" s="587" t="s">
        <v>743</v>
      </c>
      <c r="C207" s="629">
        <v>55.225000000000001</v>
      </c>
      <c r="D207" s="629">
        <v>67.772199999999998</v>
      </c>
      <c r="E207" s="630">
        <f t="shared" si="23"/>
        <v>12.547199999999997</v>
      </c>
    </row>
    <row r="208" spans="1:5" s="421" customFormat="1" x14ac:dyDescent="0.2">
      <c r="A208" s="588">
        <v>6</v>
      </c>
      <c r="B208" s="587" t="s">
        <v>424</v>
      </c>
      <c r="C208" s="629">
        <v>20.347099999999998</v>
      </c>
      <c r="D208" s="629">
        <v>15.5397</v>
      </c>
      <c r="E208" s="630">
        <f t="shared" si="23"/>
        <v>-4.8073999999999977</v>
      </c>
    </row>
    <row r="209" spans="1:5" s="421" customFormat="1" x14ac:dyDescent="0.2">
      <c r="A209" s="588">
        <v>7</v>
      </c>
      <c r="B209" s="587" t="s">
        <v>758</v>
      </c>
      <c r="C209" s="629">
        <v>637.75609999999995</v>
      </c>
      <c r="D209" s="629">
        <v>590.43880000000001</v>
      </c>
      <c r="E209" s="630">
        <f t="shared" si="23"/>
        <v>-47.317299999999932</v>
      </c>
    </row>
    <row r="210" spans="1:5" s="421" customFormat="1" x14ac:dyDescent="0.2">
      <c r="A210" s="588"/>
      <c r="B210" s="592" t="s">
        <v>823</v>
      </c>
      <c r="C210" s="631">
        <f>C204+C205+C208</f>
        <v>18168.821499999998</v>
      </c>
      <c r="D210" s="631">
        <f>D204+D205+D208</f>
        <v>18187.777399999999</v>
      </c>
      <c r="E210" s="632">
        <f t="shared" si="23"/>
        <v>18.955900000000838</v>
      </c>
    </row>
    <row r="211" spans="1:5" s="421" customFormat="1" x14ac:dyDescent="0.2">
      <c r="A211" s="588"/>
      <c r="B211" s="592" t="s">
        <v>724</v>
      </c>
      <c r="C211" s="631">
        <f>C210+C203</f>
        <v>25645.108499999998</v>
      </c>
      <c r="D211" s="631">
        <f>D210+D203</f>
        <v>25096.202999999998</v>
      </c>
      <c r="E211" s="632">
        <f t="shared" si="23"/>
        <v>-548.90550000000076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4614.179095638995</v>
      </c>
      <c r="D215" s="633">
        <f>IF(D14*D137=0,0,D25/D14*D137)</f>
        <v>5203.1025681925676</v>
      </c>
      <c r="E215" s="633">
        <f t="shared" ref="E215:E223" si="24">D215-C215</f>
        <v>588.92347255357254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3156.7961023306057</v>
      </c>
      <c r="D216" s="633">
        <f>IF(D15*D138=0,0,D26/D15*D138)</f>
        <v>3570.0510739547904</v>
      </c>
      <c r="E216" s="633">
        <f t="shared" si="24"/>
        <v>413.25497162418469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3550.4368169299451</v>
      </c>
      <c r="D217" s="633">
        <f>D218+D219</f>
        <v>3651.171291215795</v>
      </c>
      <c r="E217" s="633">
        <f t="shared" si="24"/>
        <v>100.73447428584996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3523.7478172020187</v>
      </c>
      <c r="D218" s="633">
        <f t="shared" si="25"/>
        <v>3598.2739177191784</v>
      </c>
      <c r="E218" s="633">
        <f t="shared" si="24"/>
        <v>74.526100517159648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26.68899972792612</v>
      </c>
      <c r="D219" s="633">
        <f t="shared" si="25"/>
        <v>52.897373496616659</v>
      </c>
      <c r="E219" s="633">
        <f t="shared" si="24"/>
        <v>26.208373768690539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15.588747910316236</v>
      </c>
      <c r="D220" s="633">
        <f t="shared" si="25"/>
        <v>27.781069890283487</v>
      </c>
      <c r="E220" s="633">
        <f t="shared" si="24"/>
        <v>12.19232197996725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707.03324034267519</v>
      </c>
      <c r="D221" s="633">
        <f t="shared" si="25"/>
        <v>964.97497453048459</v>
      </c>
      <c r="E221" s="633">
        <f t="shared" si="24"/>
        <v>257.9417341878094</v>
      </c>
    </row>
    <row r="222" spans="1:5" s="421" customFormat="1" x14ac:dyDescent="0.2">
      <c r="A222" s="588"/>
      <c r="B222" s="592" t="s">
        <v>825</v>
      </c>
      <c r="C222" s="634">
        <f>C216+C218+C219+C220</f>
        <v>6722.8216671708669</v>
      </c>
      <c r="D222" s="634">
        <f>D216+D218+D219+D220</f>
        <v>7249.0034350608685</v>
      </c>
      <c r="E222" s="634">
        <f t="shared" si="24"/>
        <v>526.18176789000154</v>
      </c>
    </row>
    <row r="223" spans="1:5" s="421" customFormat="1" x14ac:dyDescent="0.2">
      <c r="A223" s="588"/>
      <c r="B223" s="592" t="s">
        <v>826</v>
      </c>
      <c r="C223" s="634">
        <f>C215+C222</f>
        <v>11337.000762809861</v>
      </c>
      <c r="D223" s="634">
        <f>D215+D222</f>
        <v>12452.106003253437</v>
      </c>
      <c r="E223" s="634">
        <f t="shared" si="24"/>
        <v>1115.1052404435759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13442.855925675405</v>
      </c>
      <c r="D227" s="636">
        <f t="shared" si="26"/>
        <v>11132.344683570162</v>
      </c>
      <c r="E227" s="636">
        <f t="shared" ref="E227:E235" si="27">D227-C227</f>
        <v>-2310.5112421052436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8051.5704349501393</v>
      </c>
      <c r="D228" s="636">
        <f t="shared" si="26"/>
        <v>9098.9646382839237</v>
      </c>
      <c r="E228" s="636">
        <f t="shared" si="27"/>
        <v>1047.3942033337844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6033.2143986871715</v>
      </c>
      <c r="D229" s="636">
        <f t="shared" si="26"/>
        <v>7337.492063481619</v>
      </c>
      <c r="E229" s="636">
        <f t="shared" si="27"/>
        <v>1304.2776647944474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6071.4561412498124</v>
      </c>
      <c r="D230" s="636">
        <f t="shared" si="26"/>
        <v>7316.8939327758235</v>
      </c>
      <c r="E230" s="636">
        <f t="shared" si="27"/>
        <v>1245.4377915260111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2330.2489814395653</v>
      </c>
      <c r="D231" s="636">
        <f t="shared" si="26"/>
        <v>8887.4346708532412</v>
      </c>
      <c r="E231" s="636">
        <f t="shared" si="27"/>
        <v>6557.1856894136763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8323.0042610494875</v>
      </c>
      <c r="D232" s="636">
        <f t="shared" si="26"/>
        <v>11660.006306428053</v>
      </c>
      <c r="E232" s="636">
        <f t="shared" si="27"/>
        <v>3337.0020453785655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4251.9656025242257</v>
      </c>
      <c r="D233" s="636">
        <f t="shared" si="26"/>
        <v>5083.2008330075869</v>
      </c>
      <c r="E233" s="636">
        <f t="shared" si="27"/>
        <v>831.23523048336119</v>
      </c>
    </row>
    <row r="234" spans="1:5" x14ac:dyDescent="0.2">
      <c r="A234" s="588"/>
      <c r="B234" s="592" t="s">
        <v>828</v>
      </c>
      <c r="C234" s="637">
        <f t="shared" si="26"/>
        <v>7451.6953672531827</v>
      </c>
      <c r="D234" s="637">
        <f t="shared" si="26"/>
        <v>8600.6929576782713</v>
      </c>
      <c r="E234" s="637">
        <f t="shared" si="27"/>
        <v>1148.9975904250887</v>
      </c>
    </row>
    <row r="235" spans="1:5" s="421" customFormat="1" x14ac:dyDescent="0.2">
      <c r="A235" s="588"/>
      <c r="B235" s="592" t="s">
        <v>829</v>
      </c>
      <c r="C235" s="637">
        <f t="shared" si="26"/>
        <v>9198.2910503186213</v>
      </c>
      <c r="D235" s="637">
        <f t="shared" si="26"/>
        <v>9297.6002784166194</v>
      </c>
      <c r="E235" s="637">
        <f t="shared" si="27"/>
        <v>99.30922809799813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17916.243233413465</v>
      </c>
      <c r="D239" s="636">
        <f t="shared" si="28"/>
        <v>16049.430874280893</v>
      </c>
      <c r="E239" s="638">
        <f t="shared" ref="E239:E247" si="29">D239-C239</f>
        <v>-1866.8123591325711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13802.009248501339</v>
      </c>
      <c r="D240" s="636">
        <f t="shared" si="28"/>
        <v>13006.094881596084</v>
      </c>
      <c r="E240" s="638">
        <f t="shared" si="29"/>
        <v>-795.91436690525552</v>
      </c>
    </row>
    <row r="241" spans="1:5" x14ac:dyDescent="0.2">
      <c r="A241" s="588">
        <v>3</v>
      </c>
      <c r="B241" s="587" t="s">
        <v>777</v>
      </c>
      <c r="C241" s="636">
        <f t="shared" si="28"/>
        <v>8576.3548459172071</v>
      </c>
      <c r="D241" s="636">
        <f t="shared" si="28"/>
        <v>10199.304560044275</v>
      </c>
      <c r="E241" s="638">
        <f t="shared" si="29"/>
        <v>1622.9497141270676</v>
      </c>
    </row>
    <row r="242" spans="1:5" x14ac:dyDescent="0.2">
      <c r="A242" s="588">
        <v>4</v>
      </c>
      <c r="B242" s="587" t="s">
        <v>115</v>
      </c>
      <c r="C242" s="636">
        <f t="shared" si="28"/>
        <v>8606.0903257485879</v>
      </c>
      <c r="D242" s="636">
        <f t="shared" si="28"/>
        <v>10294.19823143404</v>
      </c>
      <c r="E242" s="638">
        <f t="shared" si="29"/>
        <v>1688.1079056854524</v>
      </c>
    </row>
    <row r="243" spans="1:5" x14ac:dyDescent="0.2">
      <c r="A243" s="588">
        <v>5</v>
      </c>
      <c r="B243" s="587" t="s">
        <v>743</v>
      </c>
      <c r="C243" s="636">
        <f t="shared" si="28"/>
        <v>4650.380353900372</v>
      </c>
      <c r="D243" s="636">
        <f t="shared" si="28"/>
        <v>3744.2879845947023</v>
      </c>
      <c r="E243" s="638">
        <f t="shared" si="29"/>
        <v>-906.09236930566976</v>
      </c>
    </row>
    <row r="244" spans="1:5" x14ac:dyDescent="0.2">
      <c r="A244" s="588">
        <v>6</v>
      </c>
      <c r="B244" s="587" t="s">
        <v>424</v>
      </c>
      <c r="C244" s="636">
        <f t="shared" si="28"/>
        <v>6159.7634750674506</v>
      </c>
      <c r="D244" s="636">
        <f t="shared" si="28"/>
        <v>4902.4029865615166</v>
      </c>
      <c r="E244" s="638">
        <f t="shared" si="29"/>
        <v>-1257.360488505934</v>
      </c>
    </row>
    <row r="245" spans="1:5" x14ac:dyDescent="0.2">
      <c r="A245" s="588">
        <v>7</v>
      </c>
      <c r="B245" s="587" t="s">
        <v>758</v>
      </c>
      <c r="C245" s="636">
        <f t="shared" si="28"/>
        <v>9170.2831352845187</v>
      </c>
      <c r="D245" s="636">
        <f t="shared" si="28"/>
        <v>8912.428018337494</v>
      </c>
      <c r="E245" s="638">
        <f t="shared" si="29"/>
        <v>-257.85511694702473</v>
      </c>
    </row>
    <row r="246" spans="1:5" ht="25.5" x14ac:dyDescent="0.2">
      <c r="A246" s="588"/>
      <c r="B246" s="592" t="s">
        <v>831</v>
      </c>
      <c r="C246" s="637">
        <f t="shared" si="28"/>
        <v>11024.531315760732</v>
      </c>
      <c r="D246" s="637">
        <f t="shared" si="28"/>
        <v>11561.316772820135</v>
      </c>
      <c r="E246" s="639">
        <f t="shared" si="29"/>
        <v>536.78545705940269</v>
      </c>
    </row>
    <row r="247" spans="1:5" x14ac:dyDescent="0.2">
      <c r="A247" s="588"/>
      <c r="B247" s="592" t="s">
        <v>832</v>
      </c>
      <c r="C247" s="637">
        <f t="shared" si="28"/>
        <v>13829.470093564774</v>
      </c>
      <c r="D247" s="637">
        <f t="shared" si="28"/>
        <v>13436.671672750348</v>
      </c>
      <c r="E247" s="639">
        <f t="shared" si="29"/>
        <v>-392.79842081442621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18309107.962408673</v>
      </c>
      <c r="D251" s="622">
        <f>((IF((IF(D15=0,0,D26/D15)*D138)=0,0,D59/(IF(D15=0,0,D26/D15)*D138)))-(IF((IF(D17=0,0,D28/D17)*D140)=0,0,D61/(IF(D17=0,0,D28/D17)*D140))))*(IF(D17=0,0,D28/D17)*D140)</f>
        <v>9758146.983828092</v>
      </c>
      <c r="E251" s="622">
        <f>D251-C251</f>
        <v>-8550960.978580581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560207.79834820749</v>
      </c>
      <c r="D252" s="622">
        <f>IF(D231=0,0,(D228-D231)*D207)+IF(D243=0,0,(D240-D243)*D219)</f>
        <v>504261.10994292796</v>
      </c>
      <c r="E252" s="622">
        <f>D252-C252</f>
        <v>-55946.688405279536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5698005.4816765767</v>
      </c>
      <c r="D253" s="622">
        <f>IF(D233=0,0,(D228-D233)*D209+IF(D221=0,0,(D240-D245)*D221))</f>
        <v>6321348.8393800408</v>
      </c>
      <c r="E253" s="622">
        <f>D253-C253</f>
        <v>623343.35770346411</v>
      </c>
    </row>
    <row r="254" spans="1:5" ht="15" customHeight="1" x14ac:dyDescent="0.2">
      <c r="A254" s="588"/>
      <c r="B254" s="592" t="s">
        <v>759</v>
      </c>
      <c r="C254" s="640">
        <f>+C251+C252+C253</f>
        <v>24567321.242433459</v>
      </c>
      <c r="D254" s="640">
        <f>+D251+D252+D253</f>
        <v>16583756.933151061</v>
      </c>
      <c r="E254" s="640">
        <f>D254-C254</f>
        <v>-7983564.3092823979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1306254120</v>
      </c>
      <c r="D258" s="625">
        <f>+D44</f>
        <v>1401696830</v>
      </c>
      <c r="E258" s="622">
        <f t="shared" ref="E258:E271" si="30">D258-C258</f>
        <v>95442710</v>
      </c>
    </row>
    <row r="259" spans="1:5" x14ac:dyDescent="0.2">
      <c r="A259" s="588">
        <v>2</v>
      </c>
      <c r="B259" s="587" t="s">
        <v>742</v>
      </c>
      <c r="C259" s="622">
        <f>+(C43-C76)</f>
        <v>689714935</v>
      </c>
      <c r="D259" s="625">
        <f>+(D43-D76)</f>
        <v>742435975</v>
      </c>
      <c r="E259" s="622">
        <f t="shared" si="30"/>
        <v>52721040</v>
      </c>
    </row>
    <row r="260" spans="1:5" x14ac:dyDescent="0.2">
      <c r="A260" s="588">
        <v>3</v>
      </c>
      <c r="B260" s="587" t="s">
        <v>746</v>
      </c>
      <c r="C260" s="622">
        <f>C195</f>
        <v>42291000</v>
      </c>
      <c r="D260" s="622">
        <f>D195</f>
        <v>41730000</v>
      </c>
      <c r="E260" s="622">
        <f t="shared" si="30"/>
        <v>-561000</v>
      </c>
    </row>
    <row r="261" spans="1:5" x14ac:dyDescent="0.2">
      <c r="A261" s="588">
        <v>4</v>
      </c>
      <c r="B261" s="587" t="s">
        <v>747</v>
      </c>
      <c r="C261" s="622">
        <f>C188</f>
        <v>178910845</v>
      </c>
      <c r="D261" s="622">
        <f>D188</f>
        <v>214980087</v>
      </c>
      <c r="E261" s="622">
        <f t="shared" si="30"/>
        <v>36069242</v>
      </c>
    </row>
    <row r="262" spans="1:5" x14ac:dyDescent="0.2">
      <c r="A262" s="588">
        <v>5</v>
      </c>
      <c r="B262" s="587" t="s">
        <v>748</v>
      </c>
      <c r="C262" s="622">
        <f>C191</f>
        <v>9459570</v>
      </c>
      <c r="D262" s="622">
        <f>D191</f>
        <v>6681394</v>
      </c>
      <c r="E262" s="622">
        <f t="shared" si="30"/>
        <v>-2778176</v>
      </c>
    </row>
    <row r="263" spans="1:5" x14ac:dyDescent="0.2">
      <c r="A263" s="588">
        <v>6</v>
      </c>
      <c r="B263" s="587" t="s">
        <v>749</v>
      </c>
      <c r="C263" s="622">
        <f>+C259+C260+C261+C262</f>
        <v>920376350</v>
      </c>
      <c r="D263" s="622">
        <f>+D259+D260+D261+D262</f>
        <v>1005827456</v>
      </c>
      <c r="E263" s="622">
        <f t="shared" si="30"/>
        <v>85451106</v>
      </c>
    </row>
    <row r="264" spans="1:5" x14ac:dyDescent="0.2">
      <c r="A264" s="588">
        <v>7</v>
      </c>
      <c r="B264" s="587" t="s">
        <v>654</v>
      </c>
      <c r="C264" s="622">
        <f>+C258-C263</f>
        <v>385877770</v>
      </c>
      <c r="D264" s="622">
        <f>+D258-D263</f>
        <v>395869374</v>
      </c>
      <c r="E264" s="622">
        <f t="shared" si="30"/>
        <v>9991604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385877770</v>
      </c>
      <c r="D266" s="622">
        <f>+D264+D265</f>
        <v>395869374</v>
      </c>
      <c r="E266" s="641">
        <f t="shared" si="30"/>
        <v>9991604</v>
      </c>
    </row>
    <row r="267" spans="1:5" x14ac:dyDescent="0.2">
      <c r="A267" s="588">
        <v>10</v>
      </c>
      <c r="B267" s="587" t="s">
        <v>837</v>
      </c>
      <c r="C267" s="642">
        <f>IF(C258=0,0,C266/C258)</f>
        <v>0.29540788740249102</v>
      </c>
      <c r="D267" s="642">
        <f>IF(D258=0,0,D266/D258)</f>
        <v>0.28242153761594796</v>
      </c>
      <c r="E267" s="643">
        <f t="shared" si="30"/>
        <v>-1.2986349786543061E-2</v>
      </c>
    </row>
    <row r="268" spans="1:5" x14ac:dyDescent="0.2">
      <c r="A268" s="588">
        <v>11</v>
      </c>
      <c r="B268" s="587" t="s">
        <v>716</v>
      </c>
      <c r="C268" s="622">
        <f>+C260*C267</f>
        <v>12493094.966138748</v>
      </c>
      <c r="D268" s="644">
        <f>+D260*D267</f>
        <v>11785450.764713509</v>
      </c>
      <c r="E268" s="622">
        <f t="shared" si="30"/>
        <v>-707644.20142523944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21512529.043843493</v>
      </c>
      <c r="D269" s="644">
        <f>((D17+D18+D28+D29)*D267)-(D50+D51+D61+D62)</f>
        <v>12998985.149699867</v>
      </c>
      <c r="E269" s="622">
        <f t="shared" si="30"/>
        <v>-8513543.8941436261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840</v>
      </c>
      <c r="C271" s="622">
        <f>+C268+C269+C270</f>
        <v>34005624.009982243</v>
      </c>
      <c r="D271" s="622">
        <f>+D268+D269+D270</f>
        <v>24784435.914413378</v>
      </c>
      <c r="E271" s="625">
        <f t="shared" si="30"/>
        <v>-9221188.0955688655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0.46277368404999569</v>
      </c>
      <c r="D276" s="623">
        <f t="shared" si="31"/>
        <v>0.37700734096136457</v>
      </c>
      <c r="E276" s="650">
        <f t="shared" ref="E276:E284" si="32">D276-C276</f>
        <v>-8.5766343088631125E-2</v>
      </c>
    </row>
    <row r="277" spans="1:5" x14ac:dyDescent="0.2">
      <c r="A277" s="588">
        <v>2</v>
      </c>
      <c r="B277" s="587" t="s">
        <v>635</v>
      </c>
      <c r="C277" s="623">
        <f t="shared" si="31"/>
        <v>0.23168206975097033</v>
      </c>
      <c r="D277" s="623">
        <f t="shared" si="31"/>
        <v>0.25859982462659986</v>
      </c>
      <c r="E277" s="650">
        <f t="shared" si="32"/>
        <v>2.6917754875629529E-2</v>
      </c>
    </row>
    <row r="278" spans="1:5" x14ac:dyDescent="0.2">
      <c r="A278" s="588">
        <v>3</v>
      </c>
      <c r="B278" s="587" t="s">
        <v>777</v>
      </c>
      <c r="C278" s="623">
        <f t="shared" si="31"/>
        <v>0.19888957182913211</v>
      </c>
      <c r="D278" s="623">
        <f t="shared" si="31"/>
        <v>0.21965582697288313</v>
      </c>
      <c r="E278" s="650">
        <f t="shared" si="32"/>
        <v>2.0766255143751022E-2</v>
      </c>
    </row>
    <row r="279" spans="1:5" x14ac:dyDescent="0.2">
      <c r="A279" s="588">
        <v>4</v>
      </c>
      <c r="B279" s="587" t="s">
        <v>115</v>
      </c>
      <c r="C279" s="623">
        <f t="shared" si="31"/>
        <v>0.2011997615439135</v>
      </c>
      <c r="D279" s="623">
        <f t="shared" si="31"/>
        <v>0.21902626091804134</v>
      </c>
      <c r="E279" s="650">
        <f t="shared" si="32"/>
        <v>1.7826499374127835E-2</v>
      </c>
    </row>
    <row r="280" spans="1:5" x14ac:dyDescent="0.2">
      <c r="A280" s="588">
        <v>5</v>
      </c>
      <c r="B280" s="587" t="s">
        <v>743</v>
      </c>
      <c r="C280" s="623">
        <f t="shared" si="31"/>
        <v>5.1038838347662825E-2</v>
      </c>
      <c r="D280" s="623">
        <f t="shared" si="31"/>
        <v>0.2672429589947436</v>
      </c>
      <c r="E280" s="650">
        <f t="shared" si="32"/>
        <v>0.21620412064708078</v>
      </c>
    </row>
    <row r="281" spans="1:5" x14ac:dyDescent="0.2">
      <c r="A281" s="588">
        <v>6</v>
      </c>
      <c r="B281" s="587" t="s">
        <v>424</v>
      </c>
      <c r="C281" s="623">
        <f t="shared" si="31"/>
        <v>0.3937533859270988</v>
      </c>
      <c r="D281" s="623">
        <f t="shared" si="31"/>
        <v>0.55905130388635882</v>
      </c>
      <c r="E281" s="650">
        <f t="shared" si="32"/>
        <v>0.16529791795926002</v>
      </c>
    </row>
    <row r="282" spans="1:5" x14ac:dyDescent="0.2">
      <c r="A282" s="588">
        <v>7</v>
      </c>
      <c r="B282" s="587" t="s">
        <v>758</v>
      </c>
      <c r="C282" s="623">
        <f t="shared" si="31"/>
        <v>0.12422705027634241</v>
      </c>
      <c r="D282" s="623">
        <f t="shared" si="31"/>
        <v>0.20260307491912263</v>
      </c>
      <c r="E282" s="650">
        <f t="shared" si="32"/>
        <v>7.837602464278022E-2</v>
      </c>
    </row>
    <row r="283" spans="1:5" ht="29.25" customHeight="1" x14ac:dyDescent="0.2">
      <c r="A283" s="588"/>
      <c r="B283" s="592" t="s">
        <v>844</v>
      </c>
      <c r="C283" s="651">
        <f t="shared" si="31"/>
        <v>0.22294690775251305</v>
      </c>
      <c r="D283" s="651">
        <f t="shared" si="31"/>
        <v>0.2480927395982753</v>
      </c>
      <c r="E283" s="652">
        <f t="shared" si="32"/>
        <v>2.5145831845762245E-2</v>
      </c>
    </row>
    <row r="284" spans="1:5" x14ac:dyDescent="0.2">
      <c r="A284" s="588"/>
      <c r="B284" s="592" t="s">
        <v>845</v>
      </c>
      <c r="C284" s="651">
        <f t="shared" si="31"/>
        <v>0.28612203795948599</v>
      </c>
      <c r="D284" s="651">
        <f t="shared" si="31"/>
        <v>0.27960536960976534</v>
      </c>
      <c r="E284" s="652">
        <f t="shared" si="32"/>
        <v>-6.5166683497206446E-3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0.43541910565433328</v>
      </c>
      <c r="D287" s="623">
        <f t="shared" si="33"/>
        <v>0.38834602558190029</v>
      </c>
      <c r="E287" s="650">
        <f t="shared" ref="E287:E295" si="34">D287-C287</f>
        <v>-4.7073080072432993E-2</v>
      </c>
    </row>
    <row r="288" spans="1:5" x14ac:dyDescent="0.2">
      <c r="A288" s="588">
        <v>2</v>
      </c>
      <c r="B288" s="587" t="s">
        <v>635</v>
      </c>
      <c r="C288" s="623">
        <f t="shared" si="33"/>
        <v>0.25743800570546399</v>
      </c>
      <c r="D288" s="623">
        <f t="shared" si="33"/>
        <v>0.21891831753055485</v>
      </c>
      <c r="E288" s="650">
        <f t="shared" si="34"/>
        <v>-3.8519688174909139E-2</v>
      </c>
    </row>
    <row r="289" spans="1:5" x14ac:dyDescent="0.2">
      <c r="A289" s="588">
        <v>3</v>
      </c>
      <c r="B289" s="587" t="s">
        <v>777</v>
      </c>
      <c r="C289" s="623">
        <f t="shared" si="33"/>
        <v>0.24886764703490535</v>
      </c>
      <c r="D289" s="623">
        <f t="shared" si="33"/>
        <v>0.26690647156133707</v>
      </c>
      <c r="E289" s="650">
        <f t="shared" si="34"/>
        <v>1.8038824526431713E-2</v>
      </c>
    </row>
    <row r="290" spans="1:5" x14ac:dyDescent="0.2">
      <c r="A290" s="588">
        <v>4</v>
      </c>
      <c r="B290" s="587" t="s">
        <v>115</v>
      </c>
      <c r="C290" s="623">
        <f t="shared" si="33"/>
        <v>0.25060990820457374</v>
      </c>
      <c r="D290" s="623">
        <f t="shared" si="33"/>
        <v>0.26919703612906565</v>
      </c>
      <c r="E290" s="650">
        <f t="shared" si="34"/>
        <v>1.8587127924491909E-2</v>
      </c>
    </row>
    <row r="291" spans="1:5" x14ac:dyDescent="0.2">
      <c r="A291" s="588">
        <v>5</v>
      </c>
      <c r="B291" s="587" t="s">
        <v>743</v>
      </c>
      <c r="C291" s="623">
        <f t="shared" si="33"/>
        <v>9.2219170061648356E-2</v>
      </c>
      <c r="D291" s="623">
        <f t="shared" si="33"/>
        <v>0.10300046855506666</v>
      </c>
      <c r="E291" s="650">
        <f t="shared" si="34"/>
        <v>1.0781298493418301E-2</v>
      </c>
    </row>
    <row r="292" spans="1:5" x14ac:dyDescent="0.2">
      <c r="A292" s="588">
        <v>6</v>
      </c>
      <c r="B292" s="587" t="s">
        <v>424</v>
      </c>
      <c r="C292" s="623">
        <f t="shared" si="33"/>
        <v>0.27211927304879119</v>
      </c>
      <c r="D292" s="623">
        <f t="shared" si="33"/>
        <v>0.25713913501532143</v>
      </c>
      <c r="E292" s="650">
        <f t="shared" si="34"/>
        <v>-1.4980138033469759E-2</v>
      </c>
    </row>
    <row r="293" spans="1:5" x14ac:dyDescent="0.2">
      <c r="A293" s="588">
        <v>7</v>
      </c>
      <c r="B293" s="587" t="s">
        <v>758</v>
      </c>
      <c r="C293" s="623">
        <f t="shared" si="33"/>
        <v>0.21887304381454384</v>
      </c>
      <c r="D293" s="623">
        <f t="shared" si="33"/>
        <v>0.2605060455799782</v>
      </c>
      <c r="E293" s="650">
        <f t="shared" si="34"/>
        <v>4.1633001765434358E-2</v>
      </c>
    </row>
    <row r="294" spans="1:5" ht="29.25" customHeight="1" x14ac:dyDescent="0.2">
      <c r="A294" s="588"/>
      <c r="B294" s="592" t="s">
        <v>847</v>
      </c>
      <c r="C294" s="651">
        <f t="shared" si="33"/>
        <v>0.25386401364076278</v>
      </c>
      <c r="D294" s="651">
        <f t="shared" si="33"/>
        <v>0.2379887071711467</v>
      </c>
      <c r="E294" s="652">
        <f t="shared" si="34"/>
        <v>-1.5875306469616074E-2</v>
      </c>
    </row>
    <row r="295" spans="1:5" x14ac:dyDescent="0.2">
      <c r="A295" s="588"/>
      <c r="B295" s="592" t="s">
        <v>848</v>
      </c>
      <c r="C295" s="651">
        <f t="shared" si="33"/>
        <v>0.32540667497867065</v>
      </c>
      <c r="D295" s="651">
        <f t="shared" si="33"/>
        <v>0.29499257118465932</v>
      </c>
      <c r="E295" s="652">
        <f t="shared" si="34"/>
        <v>-3.0414103794011327E-2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392675885</v>
      </c>
      <c r="D301" s="590">
        <f>+D48+D47+D50+D51+D52+D59+D58+D61+D62+D63</f>
        <v>400649324</v>
      </c>
      <c r="E301" s="590">
        <f>D301-C301</f>
        <v>7973439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392675885</v>
      </c>
      <c r="D303" s="593">
        <f>+D301+D302</f>
        <v>400649324</v>
      </c>
      <c r="E303" s="593">
        <f>D303-C303</f>
        <v>7973439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9934276</v>
      </c>
      <c r="D305" s="654">
        <v>7499000</v>
      </c>
      <c r="E305" s="655">
        <f>D305-C305</f>
        <v>-2435276</v>
      </c>
    </row>
    <row r="306" spans="1:5" x14ac:dyDescent="0.2">
      <c r="A306" s="588">
        <v>4</v>
      </c>
      <c r="B306" s="592" t="s">
        <v>855</v>
      </c>
      <c r="C306" s="593">
        <f>+C303+C305+C194+C190-C191</f>
        <v>436469086</v>
      </c>
      <c r="D306" s="593">
        <f>+D303+D305</f>
        <v>408148324</v>
      </c>
      <c r="E306" s="656">
        <f>D306-C306</f>
        <v>-28320762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402610000</v>
      </c>
      <c r="D308" s="589">
        <v>408148000</v>
      </c>
      <c r="E308" s="590">
        <f>D308-C308</f>
        <v>5538000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33859086</v>
      </c>
      <c r="D310" s="658">
        <f>D306-D308</f>
        <v>324</v>
      </c>
      <c r="E310" s="656">
        <f>D310-C310</f>
        <v>-33858762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1306254120</v>
      </c>
      <c r="D314" s="590">
        <f>+D14+D15+D16+D19+D25+D26+D27+D30</f>
        <v>1401696830</v>
      </c>
      <c r="E314" s="590">
        <f>D314-C314</f>
        <v>95442710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1306254120</v>
      </c>
      <c r="D316" s="657">
        <f>D314+D315</f>
        <v>1401696830</v>
      </c>
      <c r="E316" s="593">
        <f>D316-C316</f>
        <v>95442710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1306254000</v>
      </c>
      <c r="D318" s="589">
        <v>1401697000</v>
      </c>
      <c r="E318" s="590">
        <f>D318-C318</f>
        <v>95443000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120</v>
      </c>
      <c r="D320" s="657">
        <f>D316-D318</f>
        <v>-170</v>
      </c>
      <c r="E320" s="593">
        <f>D320-C320</f>
        <v>-290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42291000</v>
      </c>
      <c r="D324" s="589">
        <f>+D193+D194</f>
        <v>41730000</v>
      </c>
      <c r="E324" s="590">
        <f>D324-C324</f>
        <v>-561000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866</v>
      </c>
      <c r="C326" s="657">
        <f>C324+C325</f>
        <v>42291000</v>
      </c>
      <c r="D326" s="657">
        <f>D324+D325</f>
        <v>41730000</v>
      </c>
      <c r="E326" s="593">
        <f>D326-C326</f>
        <v>-561000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42291000</v>
      </c>
      <c r="D328" s="589">
        <v>41730000</v>
      </c>
      <c r="E328" s="590">
        <f>D328-C328</f>
        <v>-561000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fitToHeight="0" orientation="portrait" horizontalDpi="1200" verticalDpi="1200" r:id="rId1"/>
  <headerFooter>
    <oddHeader>_x000D_
                &amp;LOFFICE OF HEALTH CARE ACCESS&amp;CTWELVE MONTHS ACTUAL FILING&amp;RSAINT VINCENT`S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203993309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457581366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172614747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170360914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2253833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324108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14813788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630520221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834513530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215032032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212099305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139522312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137599379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1922933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529651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33013706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352151268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567183300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419025341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982671489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1401696830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76906975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118330461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37915835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37313514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602321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181193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3001319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156427489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233334464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83506835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46432423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37239408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37041345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198063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136194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8600270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83808025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167314860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160413810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240235514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400649324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4936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7702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4517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4455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62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17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433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12236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17172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1.3996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1.6884999999999999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1.1439917423068409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1.1447000000000001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1.0931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0.91410000000000002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1.3635999999999999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1.4864152827721477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1.4614606918238995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357664622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142684535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214980087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0.60106612109933533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22097704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6681394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22570000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19160000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41730000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21304000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435859000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400649324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400649324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7499000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408148324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408148000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324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1401696830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1401696830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1401697000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-170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41730000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41730000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41730000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FILING&amp;RSAINT VINCENT`S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2519</v>
      </c>
      <c r="D12" s="185">
        <v>2691</v>
      </c>
      <c r="E12" s="185">
        <f>+D12-C12</f>
        <v>172</v>
      </c>
      <c r="F12" s="77">
        <f>IF(C12=0,0,+E12/C12)</f>
        <v>6.8281063914251691E-2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2409</v>
      </c>
      <c r="D13" s="185">
        <v>2557</v>
      </c>
      <c r="E13" s="185">
        <f>+D13-C13</f>
        <v>148</v>
      </c>
      <c r="F13" s="77">
        <f>IF(C13=0,0,+E13/C13)</f>
        <v>6.1436280614362807E-2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21773000</v>
      </c>
      <c r="D15" s="76">
        <v>22570000</v>
      </c>
      <c r="E15" s="76">
        <f>+D15-C15</f>
        <v>797000</v>
      </c>
      <c r="F15" s="77">
        <f>IF(C15=0,0,+E15/C15)</f>
        <v>3.6604969457585082E-2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9038.1901203819016</v>
      </c>
      <c r="D16" s="79">
        <f>IF(D13=0,0,+D15/+D13)</f>
        <v>8826.750097770826</v>
      </c>
      <c r="E16" s="79">
        <f>+D16-C16</f>
        <v>-211.44002261107562</v>
      </c>
      <c r="F16" s="80">
        <f>IF(C16=0,0,+E16/C16)</f>
        <v>-2.3394066709690034E-2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0.32662099999999999</v>
      </c>
      <c r="D18" s="704">
        <v>0.32017099999999998</v>
      </c>
      <c r="E18" s="704">
        <f>+D18-C18</f>
        <v>-6.4500000000000113E-3</v>
      </c>
      <c r="F18" s="77">
        <f>IF(C18=0,0,+E18/C18)</f>
        <v>-1.9747658601253475E-2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7111519.0329999998</v>
      </c>
      <c r="D19" s="79">
        <f>+D15*D18</f>
        <v>7226259.4699999997</v>
      </c>
      <c r="E19" s="79">
        <f>+D19-C19</f>
        <v>114740.43699999992</v>
      </c>
      <c r="F19" s="80">
        <f>IF(C19=0,0,+E19/C19)</f>
        <v>1.6134448416373931E-2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2952.0626953092569</v>
      </c>
      <c r="D20" s="79">
        <f>IF(D13=0,0,+D19/D13)</f>
        <v>2826.0694055533827</v>
      </c>
      <c r="E20" s="79">
        <f>+D20-C20</f>
        <v>-125.99328975587423</v>
      </c>
      <c r="F20" s="80">
        <f>IF(C20=0,0,+E20/C20)</f>
        <v>-4.2679747268265664E-2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8402000</v>
      </c>
      <c r="D22" s="76">
        <v>5479000</v>
      </c>
      <c r="E22" s="76">
        <f>+D22-C22</f>
        <v>-2923000</v>
      </c>
      <c r="F22" s="77">
        <f>IF(C22=0,0,+E22/C22)</f>
        <v>-0.34789335872411331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9059000</v>
      </c>
      <c r="D23" s="185">
        <v>11687000</v>
      </c>
      <c r="E23" s="185">
        <f>+D23-C23</f>
        <v>2628000</v>
      </c>
      <c r="F23" s="77">
        <f>IF(C23=0,0,+E23/C23)</f>
        <v>0.29009824483938623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4312000</v>
      </c>
      <c r="D24" s="185">
        <v>5404000</v>
      </c>
      <c r="E24" s="185">
        <f>+D24-C24</f>
        <v>1092000</v>
      </c>
      <c r="F24" s="77">
        <f>IF(C24=0,0,+E24/C24)</f>
        <v>0.25324675324675322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21773000</v>
      </c>
      <c r="D25" s="79">
        <f>+D22+D23+D24</f>
        <v>22570000</v>
      </c>
      <c r="E25" s="79">
        <f>+E22+E23+E24</f>
        <v>797000</v>
      </c>
      <c r="F25" s="80">
        <f>IF(C25=0,0,+E25/C25)</f>
        <v>3.6604969457585082E-2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1023</v>
      </c>
      <c r="D27" s="185">
        <v>1268</v>
      </c>
      <c r="E27" s="185">
        <f>+D27-C27</f>
        <v>245</v>
      </c>
      <c r="F27" s="77">
        <f>IF(C27=0,0,+E27/C27)</f>
        <v>0.23949169110459434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202</v>
      </c>
      <c r="D28" s="185">
        <v>230</v>
      </c>
      <c r="E28" s="185">
        <f>+D28-C28</f>
        <v>28</v>
      </c>
      <c r="F28" s="77">
        <f>IF(C28=0,0,+E28/C28)</f>
        <v>0.13861386138613863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1519</v>
      </c>
      <c r="D29" s="185">
        <v>1754</v>
      </c>
      <c r="E29" s="185">
        <f>+D29-C29</f>
        <v>235</v>
      </c>
      <c r="F29" s="77">
        <f>IF(C29=0,0,+E29/C29)</f>
        <v>0.15470704410796576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6431</v>
      </c>
      <c r="D30" s="185">
        <v>9550</v>
      </c>
      <c r="E30" s="185">
        <f>+D30-C30</f>
        <v>3119</v>
      </c>
      <c r="F30" s="77">
        <f>IF(C30=0,0,+E30/C30)</f>
        <v>0.48499455761156895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10143000</v>
      </c>
      <c r="D33" s="76">
        <v>7130000</v>
      </c>
      <c r="E33" s="76">
        <f>+D33-C33</f>
        <v>-3013000</v>
      </c>
      <c r="F33" s="77">
        <f>IF(C33=0,0,+E33/C33)</f>
        <v>-0.29705215419501135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4683000</v>
      </c>
      <c r="D34" s="185">
        <v>7685000</v>
      </c>
      <c r="E34" s="185">
        <f>+D34-C34</f>
        <v>3002000</v>
      </c>
      <c r="F34" s="77">
        <f>IF(C34=0,0,+E34/C34)</f>
        <v>0.64104206705103561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5692000</v>
      </c>
      <c r="D35" s="185">
        <v>4345000</v>
      </c>
      <c r="E35" s="185">
        <f>+D35-C35</f>
        <v>-1347000</v>
      </c>
      <c r="F35" s="77">
        <f>IF(C35=0,0,+E35/C35)</f>
        <v>-0.23664792691496839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20518000</v>
      </c>
      <c r="D36" s="79">
        <f>+D33+D34+D35</f>
        <v>19160000</v>
      </c>
      <c r="E36" s="79">
        <f>+E33+E34+E35</f>
        <v>-1358000</v>
      </c>
      <c r="F36" s="80">
        <f>IF(C36=0,0,+E36/C36)</f>
        <v>-6.6185788088507655E-2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21773000</v>
      </c>
      <c r="D39" s="76">
        <f>+D25</f>
        <v>22570000</v>
      </c>
      <c r="E39" s="76">
        <f>+D39-C39</f>
        <v>797000</v>
      </c>
      <c r="F39" s="77">
        <f>IF(C39=0,0,+E39/C39)</f>
        <v>3.6604969457585082E-2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20518000</v>
      </c>
      <c r="D40" s="185">
        <f>+D36</f>
        <v>19160000</v>
      </c>
      <c r="E40" s="185">
        <f>+D40-C40</f>
        <v>-1358000</v>
      </c>
      <c r="F40" s="77">
        <f>IF(C40=0,0,+E40/C40)</f>
        <v>-6.6185788088507655E-2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42291000</v>
      </c>
      <c r="D41" s="79">
        <f>+D39+D40</f>
        <v>41730000</v>
      </c>
      <c r="E41" s="79">
        <f>+E39+E40</f>
        <v>-561000</v>
      </c>
      <c r="F41" s="80">
        <f>IF(C41=0,0,+E41/C41)</f>
        <v>-1.3265233737674683E-2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18545000</v>
      </c>
      <c r="D43" s="76">
        <f t="shared" si="0"/>
        <v>12609000</v>
      </c>
      <c r="E43" s="76">
        <f>+D43-C43</f>
        <v>-5936000</v>
      </c>
      <c r="F43" s="77">
        <f>IF(C43=0,0,+E43/C43)</f>
        <v>-0.32008627662442707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13742000</v>
      </c>
      <c r="D44" s="185">
        <f t="shared" si="0"/>
        <v>19372000</v>
      </c>
      <c r="E44" s="185">
        <f>+D44-C44</f>
        <v>5630000</v>
      </c>
      <c r="F44" s="77">
        <f>IF(C44=0,0,+E44/C44)</f>
        <v>0.40969291223984866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10004000</v>
      </c>
      <c r="D45" s="185">
        <f t="shared" si="0"/>
        <v>9749000</v>
      </c>
      <c r="E45" s="185">
        <f>+D45-C45</f>
        <v>-255000</v>
      </c>
      <c r="F45" s="77">
        <f>IF(C45=0,0,+E45/C45)</f>
        <v>-2.5489804078368653E-2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42291000</v>
      </c>
      <c r="D46" s="79">
        <f>+D43+D44+D45</f>
        <v>41730000</v>
      </c>
      <c r="E46" s="79">
        <f>+E43+E44+E45</f>
        <v>-561000</v>
      </c>
      <c r="F46" s="80">
        <f>IF(C46=0,0,+E46/C46)</f>
        <v>-1.3265233737674683E-2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FILING&amp;RSAINT VINCENT`S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344004037</v>
      </c>
      <c r="D15" s="76">
        <v>357664622</v>
      </c>
      <c r="E15" s="76">
        <f>+D15-C15</f>
        <v>13660585</v>
      </c>
      <c r="F15" s="77">
        <f>IF(C15=0,0,E15/C15)</f>
        <v>3.9710536885356376E-2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178910845</v>
      </c>
      <c r="D17" s="76">
        <v>214980087</v>
      </c>
      <c r="E17" s="76">
        <f>+D17-C17</f>
        <v>36069242</v>
      </c>
      <c r="F17" s="77">
        <f>IF(C17=0,0,E17/C17)</f>
        <v>0.20160455896343232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165093192</v>
      </c>
      <c r="D19" s="79">
        <f>+D15-D17</f>
        <v>142684535</v>
      </c>
      <c r="E19" s="79">
        <f>+D19-C19</f>
        <v>-22408657</v>
      </c>
      <c r="F19" s="80">
        <f>IF(C19=0,0,E19/C19)</f>
        <v>-0.13573338021109921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0.52008356227517183</v>
      </c>
      <c r="D21" s="720">
        <f>IF(D15=0,0,D17/D15)</f>
        <v>0.60106612109933533</v>
      </c>
      <c r="E21" s="720">
        <f>+D21-C21</f>
        <v>8.0982558824163497E-2</v>
      </c>
      <c r="F21" s="80">
        <f>IF(C21=0,0,E21/C21)</f>
        <v>0.15571066785863213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FILING&amp;R&amp;12SAINT VINCENT`S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756035776</v>
      </c>
      <c r="D10" s="744">
        <v>824442513</v>
      </c>
      <c r="E10" s="744">
        <v>834513530</v>
      </c>
    </row>
    <row r="11" spans="1:6" ht="26.1" customHeight="1" x14ac:dyDescent="0.25">
      <c r="A11" s="742">
        <v>2</v>
      </c>
      <c r="B11" s="743" t="s">
        <v>932</v>
      </c>
      <c r="C11" s="744">
        <v>443052936</v>
      </c>
      <c r="D11" s="744">
        <v>481811607</v>
      </c>
      <c r="E11" s="744">
        <v>567183300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1199088712</v>
      </c>
      <c r="D12" s="744">
        <f>+D11+D10</f>
        <v>1306254120</v>
      </c>
      <c r="E12" s="744">
        <f>+E11+E10</f>
        <v>1401696830</v>
      </c>
    </row>
    <row r="13" spans="1:6" ht="26.1" customHeight="1" x14ac:dyDescent="0.25">
      <c r="A13" s="742">
        <v>4</v>
      </c>
      <c r="B13" s="743" t="s">
        <v>507</v>
      </c>
      <c r="C13" s="744">
        <v>401065000</v>
      </c>
      <c r="D13" s="744">
        <v>402610000</v>
      </c>
      <c r="E13" s="744">
        <v>408149000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398392000</v>
      </c>
      <c r="D16" s="744">
        <v>424794000</v>
      </c>
      <c r="E16" s="744">
        <v>435859000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110756</v>
      </c>
      <c r="D19" s="747">
        <v>111145</v>
      </c>
      <c r="E19" s="747">
        <v>98271</v>
      </c>
    </row>
    <row r="20" spans="1:5" ht="26.1" customHeight="1" x14ac:dyDescent="0.25">
      <c r="A20" s="742">
        <v>2</v>
      </c>
      <c r="B20" s="743" t="s">
        <v>381</v>
      </c>
      <c r="C20" s="748">
        <v>18711</v>
      </c>
      <c r="D20" s="748">
        <v>18308</v>
      </c>
      <c r="E20" s="748">
        <v>17172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5.9192988081876967</v>
      </c>
      <c r="D21" s="749">
        <f>IF(D20=0,0,+D19/D20)</f>
        <v>6.0708433471706362</v>
      </c>
      <c r="E21" s="749">
        <f>IF(E20=0,0,+E19/E20)</f>
        <v>5.7227463312368974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175661.35572170597</v>
      </c>
      <c r="D22" s="748">
        <f>IF(D10=0,0,D19*(D12/D10))</f>
        <v>176099.13593502427</v>
      </c>
      <c r="E22" s="748">
        <f>IF(E10=0,0,E19*(E12/E10))</f>
        <v>165061.61281882392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29676.041270078735</v>
      </c>
      <c r="D23" s="748">
        <f>IF(D10=0,0,D20*(D12/D10))</f>
        <v>29007.359581613426</v>
      </c>
      <c r="E23" s="748">
        <f>IF(E10=0,0,E20*(E12/E10))</f>
        <v>28843.076953779284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1.3758053497942389</v>
      </c>
      <c r="D26" s="750">
        <v>1.4007596952152062</v>
      </c>
      <c r="E26" s="750">
        <v>1.4614606918238995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152378.69732181073</v>
      </c>
      <c r="D27" s="748">
        <f>D19*D26</f>
        <v>155687.43632469408</v>
      </c>
      <c r="E27" s="748">
        <f>E19*E26</f>
        <v>143619.20364622644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25742.693900000002</v>
      </c>
      <c r="D28" s="748">
        <f>D20*D26</f>
        <v>25645.108499999995</v>
      </c>
      <c r="E28" s="748">
        <f>E20*E26</f>
        <v>25096.203000000001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241675.83295403191</v>
      </c>
      <c r="D29" s="748">
        <f>D22*D26</f>
        <v>246672.57198000577</v>
      </c>
      <c r="E29" s="748">
        <f>E22*E26</f>
        <v>241231.05886376704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40828.456340088938</v>
      </c>
      <c r="D30" s="748">
        <f>D23*D26</f>
        <v>40632.340166538714</v>
      </c>
      <c r="E30" s="748">
        <f>E23*E26</f>
        <v>42153.023199200245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10826.39958106107</v>
      </c>
      <c r="D33" s="744">
        <f>IF(D19=0,0,D12/D19)</f>
        <v>11752.702505735751</v>
      </c>
      <c r="E33" s="744">
        <f>IF(E19=0,0,E12/E19)</f>
        <v>14263.585696695871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64084.694137138584</v>
      </c>
      <c r="D34" s="744">
        <f>IF(D20=0,0,D12/D20)</f>
        <v>71348.815818221541</v>
      </c>
      <c r="E34" s="744">
        <f>IF(E20=0,0,E12/E20)</f>
        <v>81626.882716049382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6826.1383220773587</v>
      </c>
      <c r="D35" s="744">
        <f>IF(D22=0,0,D12/D22)</f>
        <v>7417.7202123352372</v>
      </c>
      <c r="E35" s="744">
        <f>IF(E22=0,0,E12/E22)</f>
        <v>8491.9613110683713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40405.952434396873</v>
      </c>
      <c r="D36" s="744">
        <f>IF(D23=0,0,D12/D23)</f>
        <v>45031.817402228531</v>
      </c>
      <c r="E36" s="744">
        <f>IF(E23=0,0,E12/E23)</f>
        <v>48597.340437922205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4961.5582052346681</v>
      </c>
      <c r="D37" s="744">
        <f>IF(D29=0,0,D12/D29)</f>
        <v>5295.4980341546825</v>
      </c>
      <c r="E37" s="744">
        <f>IF(E29=0,0,E12/E29)</f>
        <v>5810.5985050274767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29368.945570999465</v>
      </c>
      <c r="D38" s="744">
        <f>IF(D30=0,0,D12/D30)</f>
        <v>32148.139010603136</v>
      </c>
      <c r="E38" s="744">
        <f>IF(E30=0,0,E12/E30)</f>
        <v>33252.581276936595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4303.9390928859766</v>
      </c>
      <c r="D39" s="744">
        <f>IF(D22=0,0,D10/D22)</f>
        <v>4681.6953906247254</v>
      </c>
      <c r="E39" s="744">
        <f>IF(E22=0,0,E10/E22)</f>
        <v>5055.7698773729089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25476.301543032398</v>
      </c>
      <c r="D40" s="744">
        <f>IF(D23=0,0,D10/D23)</f>
        <v>28421.839315653546</v>
      </c>
      <c r="E40" s="744">
        <f>IF(E23=0,0,E10/E23)</f>
        <v>28932.888517313837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3621.1582216764782</v>
      </c>
      <c r="D43" s="744">
        <f>IF(D19=0,0,D13/D19)</f>
        <v>3622.3851725223808</v>
      </c>
      <c r="E43" s="744">
        <f>IF(E19=0,0,E13/E19)</f>
        <v>4153.3005667999714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21434.717545828658</v>
      </c>
      <c r="D44" s="744">
        <f>IF(D20=0,0,D13/D20)</f>
        <v>21990.932925497051</v>
      </c>
      <c r="E44" s="744">
        <f>IF(E20=0,0,E13/E20)</f>
        <v>23768.285581178661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2283.1714941070645</v>
      </c>
      <c r="D45" s="744">
        <f>IF(D22=0,0,D13/D22)</f>
        <v>2286.2690260362888</v>
      </c>
      <c r="E45" s="744">
        <f>IF(E22=0,0,E13/E22)</f>
        <v>2472.706966991746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13514.774303956072</v>
      </c>
      <c r="D46" s="744">
        <f>IF(D23=0,0,D13/D23)</f>
        <v>13879.581106554695</v>
      </c>
      <c r="E46" s="744">
        <f>IF(E23=0,0,E13/E23)</f>
        <v>14150.674723575932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1659.516365776982</v>
      </c>
      <c r="D47" s="744">
        <f>IF(D29=0,0,D13/D29)</f>
        <v>1632.1636279554982</v>
      </c>
      <c r="E47" s="744">
        <f>IF(E29=0,0,E13/E29)</f>
        <v>1691.9421650032978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9823.173246111668</v>
      </c>
      <c r="D48" s="744">
        <f>IF(D30=0,0,D13/D30)</f>
        <v>9908.6097022675258</v>
      </c>
      <c r="E48" s="744">
        <f>IF(E30=0,0,E13/E30)</f>
        <v>9682.5558174376365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3597.0240889884071</v>
      </c>
      <c r="D51" s="744">
        <f>IF(D19=0,0,D16/D19)</f>
        <v>3821.9802960097172</v>
      </c>
      <c r="E51" s="744">
        <f>IF(E19=0,0,E16/E19)</f>
        <v>4435.2759206683559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21291.860402971513</v>
      </c>
      <c r="D52" s="744">
        <f>IF(D20=0,0,D16/D20)</f>
        <v>23202.64365304785</v>
      </c>
      <c r="E52" s="744">
        <f>IF(E20=0,0,E16/E20)</f>
        <v>25381.959003028187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2267.9547152713444</v>
      </c>
      <c r="D53" s="744">
        <f>IF(D22=0,0,D16/D22)</f>
        <v>2412.2435226299876</v>
      </c>
      <c r="E53" s="744">
        <f>IF(E22=0,0,E16/E22)</f>
        <v>2640.5836739182391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13424.701643129336</v>
      </c>
      <c r="D54" s="744">
        <f>IF(D23=0,0,D16/D23)</f>
        <v>14644.35254111372</v>
      </c>
      <c r="E54" s="744">
        <f>IF(E23=0,0,E16/E23)</f>
        <v>15111.390532239653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1648.4560956319385</v>
      </c>
      <c r="D55" s="744">
        <f>IF(D29=0,0,D16/D29)</f>
        <v>1722.0966100537194</v>
      </c>
      <c r="E55" s="744">
        <f>IF(E29=0,0,E16/E29)</f>
        <v>1806.8112872901131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9757.7042022238784</v>
      </c>
      <c r="D56" s="744">
        <f>IF(D30=0,0,D16/D30)</f>
        <v>10454.578748329726</v>
      </c>
      <c r="E56" s="744">
        <f>IF(E30=0,0,E16/E30)</f>
        <v>10339.922665576913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68135000</v>
      </c>
      <c r="D59" s="752">
        <v>69408000</v>
      </c>
      <c r="E59" s="752">
        <v>64705000</v>
      </c>
    </row>
    <row r="60" spans="1:6" ht="26.1" customHeight="1" x14ac:dyDescent="0.25">
      <c r="A60" s="742">
        <v>2</v>
      </c>
      <c r="B60" s="743" t="s">
        <v>968</v>
      </c>
      <c r="C60" s="752">
        <v>19216000</v>
      </c>
      <c r="D60" s="752">
        <v>17989000</v>
      </c>
      <c r="E60" s="752">
        <v>17695000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87351000</v>
      </c>
      <c r="D61" s="755">
        <f>D59+D60</f>
        <v>87397000</v>
      </c>
      <c r="E61" s="755">
        <f>E59+E60</f>
        <v>82400000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5941000</v>
      </c>
      <c r="D64" s="744">
        <v>7397000</v>
      </c>
      <c r="E64" s="752">
        <v>6701000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1676000</v>
      </c>
      <c r="D65" s="752">
        <v>1917000</v>
      </c>
      <c r="E65" s="752">
        <v>1833000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7617000</v>
      </c>
      <c r="D66" s="757">
        <f>D64+D65</f>
        <v>9314000</v>
      </c>
      <c r="E66" s="757">
        <f>E64+E65</f>
        <v>8534000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77042000</v>
      </c>
      <c r="D69" s="752">
        <v>77274000</v>
      </c>
      <c r="E69" s="752">
        <v>74260000</v>
      </c>
    </row>
    <row r="70" spans="1:6" ht="26.1" customHeight="1" x14ac:dyDescent="0.25">
      <c r="A70" s="742">
        <v>2</v>
      </c>
      <c r="B70" s="743" t="s">
        <v>976</v>
      </c>
      <c r="C70" s="752">
        <v>21727000</v>
      </c>
      <c r="D70" s="752">
        <v>20028000</v>
      </c>
      <c r="E70" s="752">
        <v>19751000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98769000</v>
      </c>
      <c r="D71" s="755">
        <f>D69+D70</f>
        <v>97302000</v>
      </c>
      <c r="E71" s="755">
        <f>E69+E70</f>
        <v>94011000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151118000</v>
      </c>
      <c r="D75" s="744">
        <f t="shared" si="0"/>
        <v>154079000</v>
      </c>
      <c r="E75" s="744">
        <f t="shared" si="0"/>
        <v>145666000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42619000</v>
      </c>
      <c r="D76" s="744">
        <f t="shared" si="0"/>
        <v>39934000</v>
      </c>
      <c r="E76" s="744">
        <f t="shared" si="0"/>
        <v>39279000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193737000</v>
      </c>
      <c r="D77" s="757">
        <f>D75+D76</f>
        <v>194013000</v>
      </c>
      <c r="E77" s="757">
        <f>E75+E76</f>
        <v>184945000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936.7</v>
      </c>
      <c r="D80" s="749">
        <v>912.7</v>
      </c>
      <c r="E80" s="749">
        <v>770.1</v>
      </c>
    </row>
    <row r="81" spans="1:5" ht="26.1" customHeight="1" x14ac:dyDescent="0.25">
      <c r="A81" s="742">
        <v>2</v>
      </c>
      <c r="B81" s="743" t="s">
        <v>617</v>
      </c>
      <c r="C81" s="749">
        <v>65.2</v>
      </c>
      <c r="D81" s="749">
        <v>64.400000000000006</v>
      </c>
      <c r="E81" s="749">
        <v>59</v>
      </c>
    </row>
    <row r="82" spans="1:5" ht="26.1" customHeight="1" x14ac:dyDescent="0.25">
      <c r="A82" s="742">
        <v>3</v>
      </c>
      <c r="B82" s="743" t="s">
        <v>982</v>
      </c>
      <c r="C82" s="749">
        <v>1279.9000000000001</v>
      </c>
      <c r="D82" s="749">
        <v>1206.4000000000001</v>
      </c>
      <c r="E82" s="749">
        <v>1019.3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2281.8000000000002</v>
      </c>
      <c r="D83" s="759">
        <f>D80+D81+D82</f>
        <v>2183.5</v>
      </c>
      <c r="E83" s="759">
        <f>E80+E81+E82</f>
        <v>1848.4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72739.404291662213</v>
      </c>
      <c r="D86" s="752">
        <f>IF(D80=0,0,D59/D80)</f>
        <v>76046.893831488982</v>
      </c>
      <c r="E86" s="752">
        <f>IF(E80=0,0,E59/E80)</f>
        <v>84021.555642124396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20514.572435144655</v>
      </c>
      <c r="D87" s="752">
        <f>IF(D80=0,0,D60/D80)</f>
        <v>19709.652678864906</v>
      </c>
      <c r="E87" s="752">
        <f>IF(E80=0,0,E60/E80)</f>
        <v>22977.535385014933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93253.976726806868</v>
      </c>
      <c r="D88" s="755">
        <f>+D86+D87</f>
        <v>95756.546510353888</v>
      </c>
      <c r="E88" s="755">
        <f>+E86+E87</f>
        <v>106999.09102713934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91119.63190184049</v>
      </c>
      <c r="D91" s="744">
        <f>IF(D81=0,0,D64/D81)</f>
        <v>114860.24844720495</v>
      </c>
      <c r="E91" s="744">
        <f>IF(E81=0,0,E64/E81)</f>
        <v>113576.27118644067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25705.521472392636</v>
      </c>
      <c r="D92" s="744">
        <f>IF(D81=0,0,D65/D81)</f>
        <v>29767.080745341613</v>
      </c>
      <c r="E92" s="744">
        <f>IF(E81=0,0,E65/E81)</f>
        <v>31067.796610169491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116825.15337423312</v>
      </c>
      <c r="D93" s="757">
        <f>+D91+D92</f>
        <v>144627.32919254657</v>
      </c>
      <c r="E93" s="757">
        <f>+E91+E92</f>
        <v>144644.06779661018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60193.765137901391</v>
      </c>
      <c r="D96" s="752">
        <f>IF(D82=0,0,D69/D82)</f>
        <v>64053.381962864718</v>
      </c>
      <c r="E96" s="752">
        <f>IF(E82=0,0,E69/E82)</f>
        <v>72853.919356421073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16975.544964450346</v>
      </c>
      <c r="D97" s="752">
        <f>IF(D82=0,0,D70/D82)</f>
        <v>16601.458885941644</v>
      </c>
      <c r="E97" s="752">
        <f>IF(E82=0,0,E70/E82)</f>
        <v>19377.023447463947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77169.310102351737</v>
      </c>
      <c r="D98" s="757">
        <f>+D96+D97</f>
        <v>80654.840848806358</v>
      </c>
      <c r="E98" s="757">
        <f>+E96+E97</f>
        <v>92230.942803885016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66227.539661670598</v>
      </c>
      <c r="D101" s="744">
        <f>IF(D83=0,0,D75/D83)</f>
        <v>70565.147698648958</v>
      </c>
      <c r="E101" s="744">
        <f>IF(E83=0,0,E75/E83)</f>
        <v>78806.535381951951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18677.798229467964</v>
      </c>
      <c r="D102" s="761">
        <f>IF(D83=0,0,D76/D83)</f>
        <v>18288.985573620335</v>
      </c>
      <c r="E102" s="761">
        <f>IF(E83=0,0,E76/E83)</f>
        <v>21250.270504219865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84905.337891138566</v>
      </c>
      <c r="D103" s="757">
        <f>+D101+D102</f>
        <v>88854.13327226929</v>
      </c>
      <c r="E103" s="757">
        <f>+E101+E102</f>
        <v>100056.80588617182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1749.2235183646935</v>
      </c>
      <c r="D108" s="744">
        <f>IF(D19=0,0,D77/D19)</f>
        <v>1745.5845966980071</v>
      </c>
      <c r="E108" s="744">
        <f>IF(E19=0,0,E77/E19)</f>
        <v>1881.9896001872373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10354.17668751002</v>
      </c>
      <c r="D109" s="744">
        <f>IF(D20=0,0,D77/D20)</f>
        <v>10597.170635787634</v>
      </c>
      <c r="E109" s="744">
        <f>IF(E20=0,0,E77/E20)</f>
        <v>10770.149079897508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1102.9005167586811</v>
      </c>
      <c r="D110" s="744">
        <f>IF(D22=0,0,D77/D22)</f>
        <v>1101.7260190963427</v>
      </c>
      <c r="E110" s="744">
        <f>IF(E22=0,0,E77/E22)</f>
        <v>1120.4603956160336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6528.3977143992561</v>
      </c>
      <c r="D111" s="744">
        <f>IF(D23=0,0,D77/D23)</f>
        <v>6688.4060734358209</v>
      </c>
      <c r="E111" s="744">
        <f>IF(E23=0,0,E77/E23)</f>
        <v>6412.1106183078991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801.63993905360769</v>
      </c>
      <c r="D112" s="744">
        <f>IF(D29=0,0,D77/D29)</f>
        <v>786.52035953038944</v>
      </c>
      <c r="E112" s="744">
        <f>IF(E29=0,0,E77/E29)</f>
        <v>766.67159225315982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4745.1463358356787</v>
      </c>
      <c r="D113" s="744">
        <f>IF(D30=0,0,D77/D30)</f>
        <v>4774.8418920693211</v>
      </c>
      <c r="E113" s="744">
        <f>IF(E30=0,0,E77/E30)</f>
        <v>4387.4670418303213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FILING&amp;R&amp;"Arial,Bold"&amp;12SAINT VINCENT`S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1306255000</v>
      </c>
      <c r="D12" s="76">
        <v>1401697000</v>
      </c>
      <c r="E12" s="76">
        <f t="shared" ref="E12:E21" si="0">D12-C12</f>
        <v>95442000</v>
      </c>
      <c r="F12" s="77">
        <f t="shared" ref="F12:F21" si="1">IF(C12=0,0,E12/C12)</f>
        <v>7.306536625697127E-2</v>
      </c>
    </row>
    <row r="13" spans="1:8" ht="23.1" customHeight="1" x14ac:dyDescent="0.2">
      <c r="A13" s="74">
        <v>2</v>
      </c>
      <c r="B13" s="75" t="s">
        <v>72</v>
      </c>
      <c r="C13" s="76">
        <v>861354000</v>
      </c>
      <c r="D13" s="76">
        <v>951818000</v>
      </c>
      <c r="E13" s="76">
        <f t="shared" si="0"/>
        <v>90464000</v>
      </c>
      <c r="F13" s="77">
        <f t="shared" si="1"/>
        <v>0.10502534381914985</v>
      </c>
    </row>
    <row r="14" spans="1:8" ht="23.1" customHeight="1" x14ac:dyDescent="0.2">
      <c r="A14" s="74">
        <v>3</v>
      </c>
      <c r="B14" s="75" t="s">
        <v>73</v>
      </c>
      <c r="C14" s="76">
        <v>21773000</v>
      </c>
      <c r="D14" s="76">
        <v>22570000</v>
      </c>
      <c r="E14" s="76">
        <f t="shared" si="0"/>
        <v>797000</v>
      </c>
      <c r="F14" s="77">
        <f t="shared" si="1"/>
        <v>3.6604969457585082E-2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423128000</v>
      </c>
      <c r="D16" s="79">
        <f>D12-D13-D14-D15</f>
        <v>427309000</v>
      </c>
      <c r="E16" s="79">
        <f t="shared" si="0"/>
        <v>4181000</v>
      </c>
      <c r="F16" s="80">
        <f t="shared" si="1"/>
        <v>9.8811707095725169E-3</v>
      </c>
    </row>
    <row r="17" spans="1:7" ht="23.1" customHeight="1" x14ac:dyDescent="0.2">
      <c r="A17" s="74">
        <v>5</v>
      </c>
      <c r="B17" s="75" t="s">
        <v>76</v>
      </c>
      <c r="C17" s="76">
        <v>20518000</v>
      </c>
      <c r="D17" s="76">
        <v>19160000</v>
      </c>
      <c r="E17" s="76">
        <f t="shared" si="0"/>
        <v>-1358000</v>
      </c>
      <c r="F17" s="77">
        <f t="shared" si="1"/>
        <v>-6.6185788088507655E-2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402610000</v>
      </c>
      <c r="D18" s="79">
        <f>D16-D17</f>
        <v>408149000</v>
      </c>
      <c r="E18" s="79">
        <f t="shared" si="0"/>
        <v>5539000</v>
      </c>
      <c r="F18" s="80">
        <f t="shared" si="1"/>
        <v>1.3757730806487668E-2</v>
      </c>
    </row>
    <row r="19" spans="1:7" ht="23.1" customHeight="1" x14ac:dyDescent="0.2">
      <c r="A19" s="74">
        <v>6</v>
      </c>
      <c r="B19" s="75" t="s">
        <v>78</v>
      </c>
      <c r="C19" s="76">
        <v>18068000</v>
      </c>
      <c r="D19" s="76">
        <v>21304000</v>
      </c>
      <c r="E19" s="76">
        <f t="shared" si="0"/>
        <v>3236000</v>
      </c>
      <c r="F19" s="77">
        <f t="shared" si="1"/>
        <v>0.17910117334514059</v>
      </c>
      <c r="G19" s="65"/>
    </row>
    <row r="20" spans="1:7" ht="33" customHeight="1" x14ac:dyDescent="0.2">
      <c r="A20" s="74">
        <v>7</v>
      </c>
      <c r="B20" s="82" t="s">
        <v>79</v>
      </c>
      <c r="C20" s="76">
        <v>270000</v>
      </c>
      <c r="D20" s="76">
        <v>307000</v>
      </c>
      <c r="E20" s="76">
        <f t="shared" si="0"/>
        <v>37000</v>
      </c>
      <c r="F20" s="77">
        <f t="shared" si="1"/>
        <v>0.13703703703703704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420948000</v>
      </c>
      <c r="D21" s="79">
        <f>SUM(D18:D20)</f>
        <v>429760000</v>
      </c>
      <c r="E21" s="79">
        <f t="shared" si="0"/>
        <v>8812000</v>
      </c>
      <c r="F21" s="80">
        <f t="shared" si="1"/>
        <v>2.0933702024953201E-2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154079000</v>
      </c>
      <c r="D24" s="76">
        <v>145666000</v>
      </c>
      <c r="E24" s="76">
        <f t="shared" ref="E24:E33" si="2">D24-C24</f>
        <v>-8413000</v>
      </c>
      <c r="F24" s="77">
        <f t="shared" ref="F24:F33" si="3">IF(C24=0,0,E24/C24)</f>
        <v>-5.4601860084761714E-2</v>
      </c>
    </row>
    <row r="25" spans="1:7" ht="23.1" customHeight="1" x14ac:dyDescent="0.2">
      <c r="A25" s="74">
        <v>2</v>
      </c>
      <c r="B25" s="75" t="s">
        <v>83</v>
      </c>
      <c r="C25" s="76">
        <v>39934000</v>
      </c>
      <c r="D25" s="76">
        <v>39279000</v>
      </c>
      <c r="E25" s="76">
        <f t="shared" si="2"/>
        <v>-655000</v>
      </c>
      <c r="F25" s="77">
        <f t="shared" si="3"/>
        <v>-1.6402063404617619E-2</v>
      </c>
    </row>
    <row r="26" spans="1:7" ht="23.1" customHeight="1" x14ac:dyDescent="0.2">
      <c r="A26" s="74">
        <v>3</v>
      </c>
      <c r="B26" s="75" t="s">
        <v>84</v>
      </c>
      <c r="C26" s="76">
        <v>34044000</v>
      </c>
      <c r="D26" s="76">
        <v>37946000</v>
      </c>
      <c r="E26" s="76">
        <f t="shared" si="2"/>
        <v>3902000</v>
      </c>
      <c r="F26" s="77">
        <f t="shared" si="3"/>
        <v>0.11461637880390084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49962000</v>
      </c>
      <c r="D27" s="76">
        <v>52774000</v>
      </c>
      <c r="E27" s="76">
        <f t="shared" si="2"/>
        <v>2812000</v>
      </c>
      <c r="F27" s="77">
        <f t="shared" si="3"/>
        <v>5.6282774908930785E-2</v>
      </c>
    </row>
    <row r="28" spans="1:7" ht="23.1" customHeight="1" x14ac:dyDescent="0.2">
      <c r="A28" s="74">
        <v>5</v>
      </c>
      <c r="B28" s="75" t="s">
        <v>86</v>
      </c>
      <c r="C28" s="76">
        <v>24667000</v>
      </c>
      <c r="D28" s="76">
        <v>24597000</v>
      </c>
      <c r="E28" s="76">
        <f t="shared" si="2"/>
        <v>-70000</v>
      </c>
      <c r="F28" s="77">
        <f t="shared" si="3"/>
        <v>-2.8377994891960918E-3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1791000</v>
      </c>
      <c r="D30" s="76">
        <v>1800000</v>
      </c>
      <c r="E30" s="76">
        <f t="shared" si="2"/>
        <v>9000</v>
      </c>
      <c r="F30" s="77">
        <f t="shared" si="3"/>
        <v>5.0251256281407036E-3</v>
      </c>
    </row>
    <row r="31" spans="1:7" ht="23.1" customHeight="1" x14ac:dyDescent="0.2">
      <c r="A31" s="74">
        <v>8</v>
      </c>
      <c r="B31" s="75" t="s">
        <v>89</v>
      </c>
      <c r="C31" s="76">
        <v>7350000</v>
      </c>
      <c r="D31" s="76">
        <v>7446000</v>
      </c>
      <c r="E31" s="76">
        <f t="shared" si="2"/>
        <v>96000</v>
      </c>
      <c r="F31" s="77">
        <f t="shared" si="3"/>
        <v>1.3061224489795919E-2</v>
      </c>
    </row>
    <row r="32" spans="1:7" ht="23.1" customHeight="1" x14ac:dyDescent="0.2">
      <c r="A32" s="74">
        <v>9</v>
      </c>
      <c r="B32" s="75" t="s">
        <v>90</v>
      </c>
      <c r="C32" s="76">
        <v>112967000</v>
      </c>
      <c r="D32" s="76">
        <v>126351000</v>
      </c>
      <c r="E32" s="76">
        <f t="shared" si="2"/>
        <v>13384000</v>
      </c>
      <c r="F32" s="77">
        <f t="shared" si="3"/>
        <v>0.118477077376579</v>
      </c>
    </row>
    <row r="33" spans="1:6" ht="23.1" customHeight="1" x14ac:dyDescent="0.25">
      <c r="A33" s="71"/>
      <c r="B33" s="78" t="s">
        <v>91</v>
      </c>
      <c r="C33" s="79">
        <f>SUM(C24:C32)</f>
        <v>424794000</v>
      </c>
      <c r="D33" s="79">
        <f>SUM(D24:D32)</f>
        <v>435859000</v>
      </c>
      <c r="E33" s="79">
        <f t="shared" si="2"/>
        <v>11065000</v>
      </c>
      <c r="F33" s="80">
        <f t="shared" si="3"/>
        <v>2.6047919697547516E-2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-3846000</v>
      </c>
      <c r="D35" s="79">
        <f>+D21-D33</f>
        <v>-6099000</v>
      </c>
      <c r="E35" s="79">
        <f>D35-C35</f>
        <v>-2253000</v>
      </c>
      <c r="F35" s="80">
        <f>IF(C35=0,0,E35/C35)</f>
        <v>0.58580343213728547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-11608000</v>
      </c>
      <c r="D38" s="76">
        <v>6270000</v>
      </c>
      <c r="E38" s="76">
        <f>D38-C38</f>
        <v>17878000</v>
      </c>
      <c r="F38" s="77">
        <f>IF(C38=0,0,E38/C38)</f>
        <v>-1.5401447277739491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366000</v>
      </c>
      <c r="D40" s="76">
        <v>-64000</v>
      </c>
      <c r="E40" s="76">
        <f>D40-C40</f>
        <v>-430000</v>
      </c>
      <c r="F40" s="77">
        <f>IF(C40=0,0,E40/C40)</f>
        <v>-1.174863387978142</v>
      </c>
    </row>
    <row r="41" spans="1:6" ht="23.1" customHeight="1" x14ac:dyDescent="0.25">
      <c r="A41" s="83"/>
      <c r="B41" s="78" t="s">
        <v>97</v>
      </c>
      <c r="C41" s="79">
        <f>SUM(C38:C40)</f>
        <v>-11242000</v>
      </c>
      <c r="D41" s="79">
        <f>SUM(D38:D40)</f>
        <v>6206000</v>
      </c>
      <c r="E41" s="79">
        <f>D41-C41</f>
        <v>17448000</v>
      </c>
      <c r="F41" s="80">
        <f>IF(C41=0,0,E41/C41)</f>
        <v>-1.5520370040917986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-15088000</v>
      </c>
      <c r="D43" s="79">
        <f>D35+D41</f>
        <v>107000</v>
      </c>
      <c r="E43" s="79">
        <f>D43-C43</f>
        <v>15195000</v>
      </c>
      <c r="F43" s="80">
        <f>IF(C43=0,0,E43/C43)</f>
        <v>-1.0070917285259808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-15088000</v>
      </c>
      <c r="D50" s="79">
        <f>D43+D48</f>
        <v>107000</v>
      </c>
      <c r="E50" s="79">
        <f>D50-C50</f>
        <v>15195000</v>
      </c>
      <c r="F50" s="80">
        <f>IF(C50=0,0,E50/C50)</f>
        <v>-1.0070917285259808</v>
      </c>
    </row>
    <row r="51" spans="1:6" ht="23.1" customHeight="1" x14ac:dyDescent="0.2">
      <c r="A51" s="85"/>
      <c r="B51" s="75" t="s">
        <v>104</v>
      </c>
      <c r="C51" s="76">
        <v>839000</v>
      </c>
      <c r="D51" s="76">
        <v>703000</v>
      </c>
      <c r="E51" s="76">
        <f>D51-C51</f>
        <v>-136000</v>
      </c>
      <c r="F51" s="77">
        <f>IF(C51=0,0,E51/C51)</f>
        <v>-0.16209773539928488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FILING&amp;RSAINT VINCENT`S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310703385</v>
      </c>
      <c r="D14" s="113">
        <v>321583651</v>
      </c>
      <c r="E14" s="113">
        <f t="shared" ref="E14:E25" si="0">D14-C14</f>
        <v>10880266</v>
      </c>
      <c r="F14" s="114">
        <f t="shared" ref="F14:F25" si="1">IF(C14=0,0,E14/C14)</f>
        <v>3.5018176580213313E-2</v>
      </c>
    </row>
    <row r="15" spans="1:6" x14ac:dyDescent="0.2">
      <c r="A15" s="115">
        <v>2</v>
      </c>
      <c r="B15" s="116" t="s">
        <v>114</v>
      </c>
      <c r="C15" s="113">
        <v>132246754</v>
      </c>
      <c r="D15" s="113">
        <v>135997715</v>
      </c>
      <c r="E15" s="113">
        <f t="shared" si="0"/>
        <v>3750961</v>
      </c>
      <c r="F15" s="114">
        <f t="shared" si="1"/>
        <v>2.8363350226350358E-2</v>
      </c>
    </row>
    <row r="16" spans="1:6" x14ac:dyDescent="0.2">
      <c r="A16" s="115">
        <v>3</v>
      </c>
      <c r="B16" s="116" t="s">
        <v>115</v>
      </c>
      <c r="C16" s="113">
        <v>161366399</v>
      </c>
      <c r="D16" s="113">
        <v>170360914</v>
      </c>
      <c r="E16" s="113">
        <f t="shared" si="0"/>
        <v>8994515</v>
      </c>
      <c r="F16" s="114">
        <f t="shared" si="1"/>
        <v>5.5739702042926546E-2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430089</v>
      </c>
      <c r="D18" s="113">
        <v>324108</v>
      </c>
      <c r="E18" s="113">
        <f t="shared" si="0"/>
        <v>-105981</v>
      </c>
      <c r="F18" s="114">
        <f t="shared" si="1"/>
        <v>-0.24641643938812666</v>
      </c>
    </row>
    <row r="19" spans="1:6" x14ac:dyDescent="0.2">
      <c r="A19" s="115">
        <v>6</v>
      </c>
      <c r="B19" s="116" t="s">
        <v>118</v>
      </c>
      <c r="C19" s="113">
        <v>36501857</v>
      </c>
      <c r="D19" s="113">
        <v>35384566</v>
      </c>
      <c r="E19" s="113">
        <f t="shared" si="0"/>
        <v>-1117291</v>
      </c>
      <c r="F19" s="114">
        <f t="shared" si="1"/>
        <v>-3.0609155035591751E-2</v>
      </c>
    </row>
    <row r="20" spans="1:6" x14ac:dyDescent="0.2">
      <c r="A20" s="115">
        <v>7</v>
      </c>
      <c r="B20" s="116" t="s">
        <v>119</v>
      </c>
      <c r="C20" s="113">
        <v>152117243</v>
      </c>
      <c r="D20" s="113">
        <v>145952327</v>
      </c>
      <c r="E20" s="113">
        <f t="shared" si="0"/>
        <v>-6164916</v>
      </c>
      <c r="F20" s="114">
        <f t="shared" si="1"/>
        <v>-4.0527397673122433E-2</v>
      </c>
    </row>
    <row r="21" spans="1:6" x14ac:dyDescent="0.2">
      <c r="A21" s="115">
        <v>8</v>
      </c>
      <c r="B21" s="116" t="s">
        <v>120</v>
      </c>
      <c r="C21" s="113">
        <v>6726696</v>
      </c>
      <c r="D21" s="113">
        <v>7842628</v>
      </c>
      <c r="E21" s="113">
        <f t="shared" si="0"/>
        <v>1115932</v>
      </c>
      <c r="F21" s="114">
        <f t="shared" si="1"/>
        <v>0.16589600600354171</v>
      </c>
    </row>
    <row r="22" spans="1:6" x14ac:dyDescent="0.2">
      <c r="A22" s="115">
        <v>9</v>
      </c>
      <c r="B22" s="116" t="s">
        <v>121</v>
      </c>
      <c r="C22" s="113">
        <v>21828716</v>
      </c>
      <c r="D22" s="113">
        <v>14813788</v>
      </c>
      <c r="E22" s="113">
        <f t="shared" si="0"/>
        <v>-7014928</v>
      </c>
      <c r="F22" s="114">
        <f t="shared" si="1"/>
        <v>-0.32136237422301889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2521374</v>
      </c>
      <c r="D24" s="113">
        <v>2253833</v>
      </c>
      <c r="E24" s="113">
        <f t="shared" si="0"/>
        <v>-267541</v>
      </c>
      <c r="F24" s="114">
        <f t="shared" si="1"/>
        <v>-0.10610920870921965</v>
      </c>
    </row>
    <row r="25" spans="1:6" ht="15.75" x14ac:dyDescent="0.25">
      <c r="A25" s="117"/>
      <c r="B25" s="118" t="s">
        <v>124</v>
      </c>
      <c r="C25" s="119">
        <f>SUM(C14:C24)</f>
        <v>824442513</v>
      </c>
      <c r="D25" s="119">
        <f>SUM(D14:D24)</f>
        <v>834513530</v>
      </c>
      <c r="E25" s="119">
        <f t="shared" si="0"/>
        <v>10071017</v>
      </c>
      <c r="F25" s="120">
        <f t="shared" si="1"/>
        <v>1.2215547889874525E-2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117127675</v>
      </c>
      <c r="D27" s="113">
        <v>146503252</v>
      </c>
      <c r="E27" s="113">
        <f t="shared" ref="E27:E38" si="2">D27-C27</f>
        <v>29375577</v>
      </c>
      <c r="F27" s="114">
        <f t="shared" ref="F27:F38" si="3">IF(C27=0,0,E27/C27)</f>
        <v>0.25079962528070332</v>
      </c>
    </row>
    <row r="28" spans="1:6" x14ac:dyDescent="0.2">
      <c r="A28" s="115">
        <v>2</v>
      </c>
      <c r="B28" s="116" t="s">
        <v>114</v>
      </c>
      <c r="C28" s="113">
        <v>52117456</v>
      </c>
      <c r="D28" s="113">
        <v>65596053</v>
      </c>
      <c r="E28" s="113">
        <f t="shared" si="2"/>
        <v>13478597</v>
      </c>
      <c r="F28" s="114">
        <f t="shared" si="3"/>
        <v>0.25861962640693742</v>
      </c>
    </row>
    <row r="29" spans="1:6" x14ac:dyDescent="0.2">
      <c r="A29" s="115">
        <v>3</v>
      </c>
      <c r="B29" s="116" t="s">
        <v>115</v>
      </c>
      <c r="C29" s="113">
        <v>121007554</v>
      </c>
      <c r="D29" s="113">
        <v>137599379</v>
      </c>
      <c r="E29" s="113">
        <f t="shared" si="2"/>
        <v>16591825</v>
      </c>
      <c r="F29" s="114">
        <f t="shared" si="3"/>
        <v>0.13711396067058756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352871</v>
      </c>
      <c r="D31" s="113">
        <v>529651</v>
      </c>
      <c r="E31" s="113">
        <f t="shared" si="2"/>
        <v>176780</v>
      </c>
      <c r="F31" s="114">
        <f t="shared" si="3"/>
        <v>0.50097627744983297</v>
      </c>
    </row>
    <row r="32" spans="1:6" x14ac:dyDescent="0.2">
      <c r="A32" s="115">
        <v>6</v>
      </c>
      <c r="B32" s="116" t="s">
        <v>118</v>
      </c>
      <c r="C32" s="113">
        <v>35175091</v>
      </c>
      <c r="D32" s="113">
        <v>40435480</v>
      </c>
      <c r="E32" s="113">
        <f t="shared" si="2"/>
        <v>5260389</v>
      </c>
      <c r="F32" s="114">
        <f t="shared" si="3"/>
        <v>0.14954869626350079</v>
      </c>
    </row>
    <row r="33" spans="1:6" x14ac:dyDescent="0.2">
      <c r="A33" s="115">
        <v>7</v>
      </c>
      <c r="B33" s="116" t="s">
        <v>119</v>
      </c>
      <c r="C33" s="113">
        <v>120209847</v>
      </c>
      <c r="D33" s="113">
        <v>135892249</v>
      </c>
      <c r="E33" s="113">
        <f t="shared" si="2"/>
        <v>15682402</v>
      </c>
      <c r="F33" s="114">
        <f t="shared" si="3"/>
        <v>0.1304585472103629</v>
      </c>
    </row>
    <row r="34" spans="1:6" x14ac:dyDescent="0.2">
      <c r="A34" s="115">
        <v>8</v>
      </c>
      <c r="B34" s="116" t="s">
        <v>120</v>
      </c>
      <c r="C34" s="113">
        <v>4852168</v>
      </c>
      <c r="D34" s="113">
        <v>5690597</v>
      </c>
      <c r="E34" s="113">
        <f t="shared" si="2"/>
        <v>838429</v>
      </c>
      <c r="F34" s="114">
        <f t="shared" si="3"/>
        <v>0.17279471774266678</v>
      </c>
    </row>
    <row r="35" spans="1:6" x14ac:dyDescent="0.2">
      <c r="A35" s="115">
        <v>9</v>
      </c>
      <c r="B35" s="116" t="s">
        <v>121</v>
      </c>
      <c r="C35" s="113">
        <v>29623086</v>
      </c>
      <c r="D35" s="113">
        <v>33013706</v>
      </c>
      <c r="E35" s="113">
        <f t="shared" si="2"/>
        <v>3390620</v>
      </c>
      <c r="F35" s="114">
        <f t="shared" si="3"/>
        <v>0.11445870291839277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1345859</v>
      </c>
      <c r="D37" s="113">
        <v>1922933</v>
      </c>
      <c r="E37" s="113">
        <f t="shared" si="2"/>
        <v>577074</v>
      </c>
      <c r="F37" s="114">
        <f t="shared" si="3"/>
        <v>0.42877745737109163</v>
      </c>
    </row>
    <row r="38" spans="1:6" ht="15.75" x14ac:dyDescent="0.25">
      <c r="A38" s="117"/>
      <c r="B38" s="118" t="s">
        <v>126</v>
      </c>
      <c r="C38" s="119">
        <f>SUM(C27:C37)</f>
        <v>481811607</v>
      </c>
      <c r="D38" s="119">
        <f>SUM(D27:D37)</f>
        <v>567183300</v>
      </c>
      <c r="E38" s="119">
        <f t="shared" si="2"/>
        <v>85371693</v>
      </c>
      <c r="F38" s="120">
        <f t="shared" si="3"/>
        <v>0.17718895053518294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427831060</v>
      </c>
      <c r="D41" s="119">
        <f t="shared" si="4"/>
        <v>468086903</v>
      </c>
      <c r="E41" s="123">
        <f t="shared" ref="E41:E52" si="5">D41-C41</f>
        <v>40255843</v>
      </c>
      <c r="F41" s="124">
        <f t="shared" ref="F41:F52" si="6">IF(C41=0,0,E41/C41)</f>
        <v>9.4092848237806767E-2</v>
      </c>
    </row>
    <row r="42" spans="1:6" ht="15.75" x14ac:dyDescent="0.25">
      <c r="A42" s="121">
        <v>2</v>
      </c>
      <c r="B42" s="122" t="s">
        <v>114</v>
      </c>
      <c r="C42" s="119">
        <f t="shared" si="4"/>
        <v>184364210</v>
      </c>
      <c r="D42" s="119">
        <f t="shared" si="4"/>
        <v>201593768</v>
      </c>
      <c r="E42" s="123">
        <f t="shared" si="5"/>
        <v>17229558</v>
      </c>
      <c r="F42" s="124">
        <f t="shared" si="6"/>
        <v>9.3453919282923736E-2</v>
      </c>
    </row>
    <row r="43" spans="1:6" ht="15.75" x14ac:dyDescent="0.25">
      <c r="A43" s="121">
        <v>3</v>
      </c>
      <c r="B43" s="122" t="s">
        <v>115</v>
      </c>
      <c r="C43" s="119">
        <f t="shared" si="4"/>
        <v>282373953</v>
      </c>
      <c r="D43" s="119">
        <f t="shared" si="4"/>
        <v>307960293</v>
      </c>
      <c r="E43" s="123">
        <f t="shared" si="5"/>
        <v>25586340</v>
      </c>
      <c r="F43" s="124">
        <f t="shared" si="6"/>
        <v>9.0611544472021466E-2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782960</v>
      </c>
      <c r="D45" s="119">
        <f t="shared" si="4"/>
        <v>853759</v>
      </c>
      <c r="E45" s="123">
        <f t="shared" si="5"/>
        <v>70799</v>
      </c>
      <c r="F45" s="124">
        <f t="shared" si="6"/>
        <v>9.0424798201696133E-2</v>
      </c>
    </row>
    <row r="46" spans="1:6" ht="15.75" x14ac:dyDescent="0.25">
      <c r="A46" s="121">
        <v>6</v>
      </c>
      <c r="B46" s="122" t="s">
        <v>118</v>
      </c>
      <c r="C46" s="119">
        <f t="shared" si="4"/>
        <v>71676948</v>
      </c>
      <c r="D46" s="119">
        <f t="shared" si="4"/>
        <v>75820046</v>
      </c>
      <c r="E46" s="123">
        <f t="shared" si="5"/>
        <v>4143098</v>
      </c>
      <c r="F46" s="124">
        <f t="shared" si="6"/>
        <v>5.7802377411493584E-2</v>
      </c>
    </row>
    <row r="47" spans="1:6" ht="15.75" x14ac:dyDescent="0.25">
      <c r="A47" s="121">
        <v>7</v>
      </c>
      <c r="B47" s="122" t="s">
        <v>119</v>
      </c>
      <c r="C47" s="119">
        <f t="shared" si="4"/>
        <v>272327090</v>
      </c>
      <c r="D47" s="119">
        <f t="shared" si="4"/>
        <v>281844576</v>
      </c>
      <c r="E47" s="123">
        <f t="shared" si="5"/>
        <v>9517486</v>
      </c>
      <c r="F47" s="124">
        <f t="shared" si="6"/>
        <v>3.4948730219971871E-2</v>
      </c>
    </row>
    <row r="48" spans="1:6" ht="15.75" x14ac:dyDescent="0.25">
      <c r="A48" s="121">
        <v>8</v>
      </c>
      <c r="B48" s="122" t="s">
        <v>120</v>
      </c>
      <c r="C48" s="119">
        <f t="shared" si="4"/>
        <v>11578864</v>
      </c>
      <c r="D48" s="119">
        <f t="shared" si="4"/>
        <v>13533225</v>
      </c>
      <c r="E48" s="123">
        <f t="shared" si="5"/>
        <v>1954361</v>
      </c>
      <c r="F48" s="124">
        <f t="shared" si="6"/>
        <v>0.16878693799322628</v>
      </c>
    </row>
    <row r="49" spans="1:6" ht="15.75" x14ac:dyDescent="0.25">
      <c r="A49" s="121">
        <v>9</v>
      </c>
      <c r="B49" s="122" t="s">
        <v>121</v>
      </c>
      <c r="C49" s="119">
        <f t="shared" si="4"/>
        <v>51451802</v>
      </c>
      <c r="D49" s="119">
        <f t="shared" si="4"/>
        <v>47827494</v>
      </c>
      <c r="E49" s="123">
        <f t="shared" si="5"/>
        <v>-3624308</v>
      </c>
      <c r="F49" s="124">
        <f t="shared" si="6"/>
        <v>-7.0440837038127452E-2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3867233</v>
      </c>
      <c r="D51" s="119">
        <f t="shared" si="4"/>
        <v>4176766</v>
      </c>
      <c r="E51" s="123">
        <f t="shared" si="5"/>
        <v>309533</v>
      </c>
      <c r="F51" s="124">
        <f t="shared" si="6"/>
        <v>8.0039914843506976E-2</v>
      </c>
    </row>
    <row r="52" spans="1:6" ht="18.75" customHeight="1" thickBot="1" x14ac:dyDescent="0.3">
      <c r="A52" s="125"/>
      <c r="B52" s="126" t="s">
        <v>128</v>
      </c>
      <c r="C52" s="127">
        <f>SUM(C41:C51)</f>
        <v>1306254120</v>
      </c>
      <c r="D52" s="128">
        <f>SUM(D41:D51)</f>
        <v>1401696830</v>
      </c>
      <c r="E52" s="127">
        <f t="shared" si="5"/>
        <v>95442710</v>
      </c>
      <c r="F52" s="129">
        <f t="shared" si="6"/>
        <v>7.3065959018755094E-2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73536798</v>
      </c>
      <c r="D57" s="113">
        <v>85382976</v>
      </c>
      <c r="E57" s="113">
        <f t="shared" ref="E57:E68" si="7">D57-C57</f>
        <v>11846178</v>
      </c>
      <c r="F57" s="114">
        <f t="shared" ref="F57:F68" si="8">IF(C57=0,0,E57/C57)</f>
        <v>0.16109183867374807</v>
      </c>
    </row>
    <row r="58" spans="1:6" x14ac:dyDescent="0.2">
      <c r="A58" s="115">
        <v>2</v>
      </c>
      <c r="B58" s="116" t="s">
        <v>114</v>
      </c>
      <c r="C58" s="113">
        <v>29086807</v>
      </c>
      <c r="D58" s="113">
        <v>32947485</v>
      </c>
      <c r="E58" s="113">
        <f t="shared" si="7"/>
        <v>3860678</v>
      </c>
      <c r="F58" s="114">
        <f t="shared" si="8"/>
        <v>0.13272952235699162</v>
      </c>
    </row>
    <row r="59" spans="1:6" x14ac:dyDescent="0.2">
      <c r="A59" s="115">
        <v>3</v>
      </c>
      <c r="B59" s="116" t="s">
        <v>115</v>
      </c>
      <c r="C59" s="113">
        <v>32466881</v>
      </c>
      <c r="D59" s="113">
        <v>37313514</v>
      </c>
      <c r="E59" s="113">
        <f t="shared" si="7"/>
        <v>4846633</v>
      </c>
      <c r="F59" s="114">
        <f t="shared" si="8"/>
        <v>0.14927929171884419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169349</v>
      </c>
      <c r="D61" s="113">
        <v>181193</v>
      </c>
      <c r="E61" s="113">
        <f t="shared" si="7"/>
        <v>11844</v>
      </c>
      <c r="F61" s="114">
        <f t="shared" si="8"/>
        <v>6.9938411209986479E-2</v>
      </c>
    </row>
    <row r="62" spans="1:6" x14ac:dyDescent="0.2">
      <c r="A62" s="115">
        <v>6</v>
      </c>
      <c r="B62" s="116" t="s">
        <v>118</v>
      </c>
      <c r="C62" s="113">
        <v>22283712</v>
      </c>
      <c r="D62" s="113">
        <v>6389933</v>
      </c>
      <c r="E62" s="113">
        <f t="shared" si="7"/>
        <v>-15893779</v>
      </c>
      <c r="F62" s="114">
        <f t="shared" si="8"/>
        <v>-0.71324647347802739</v>
      </c>
    </row>
    <row r="63" spans="1:6" x14ac:dyDescent="0.2">
      <c r="A63" s="115">
        <v>7</v>
      </c>
      <c r="B63" s="116" t="s">
        <v>119</v>
      </c>
      <c r="C63" s="113">
        <v>70105235</v>
      </c>
      <c r="D63" s="113">
        <v>64110916</v>
      </c>
      <c r="E63" s="113">
        <f t="shared" si="7"/>
        <v>-5994319</v>
      </c>
      <c r="F63" s="114">
        <f t="shared" si="8"/>
        <v>-8.5504584643357945E-2</v>
      </c>
    </row>
    <row r="64" spans="1:6" x14ac:dyDescent="0.2">
      <c r="A64" s="115">
        <v>8</v>
      </c>
      <c r="B64" s="116" t="s">
        <v>120</v>
      </c>
      <c r="C64" s="113">
        <v>5401985</v>
      </c>
      <c r="D64" s="113">
        <v>3404807</v>
      </c>
      <c r="E64" s="113">
        <f t="shared" si="7"/>
        <v>-1997178</v>
      </c>
      <c r="F64" s="114">
        <f t="shared" si="8"/>
        <v>-0.36971187443134329</v>
      </c>
    </row>
    <row r="65" spans="1:6" x14ac:dyDescent="0.2">
      <c r="A65" s="115">
        <v>9</v>
      </c>
      <c r="B65" s="116" t="s">
        <v>121</v>
      </c>
      <c r="C65" s="113">
        <v>2711717</v>
      </c>
      <c r="D65" s="113">
        <v>3001319</v>
      </c>
      <c r="E65" s="113">
        <f t="shared" si="7"/>
        <v>289602</v>
      </c>
      <c r="F65" s="114">
        <f t="shared" si="8"/>
        <v>0.1067965425595665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128688</v>
      </c>
      <c r="D67" s="113">
        <v>602321</v>
      </c>
      <c r="E67" s="113">
        <f t="shared" si="7"/>
        <v>473633</v>
      </c>
      <c r="F67" s="114">
        <f t="shared" si="8"/>
        <v>3.6804752579883129</v>
      </c>
    </row>
    <row r="68" spans="1:6" ht="15.75" x14ac:dyDescent="0.25">
      <c r="A68" s="117"/>
      <c r="B68" s="118" t="s">
        <v>131</v>
      </c>
      <c r="C68" s="119">
        <f>SUM(C57:C67)</f>
        <v>235891172</v>
      </c>
      <c r="D68" s="119">
        <f>SUM(D57:D67)</f>
        <v>233334464</v>
      </c>
      <c r="E68" s="119">
        <f t="shared" si="7"/>
        <v>-2556708</v>
      </c>
      <c r="F68" s="120">
        <f t="shared" si="8"/>
        <v>-1.0838506495698787E-2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30613813</v>
      </c>
      <c r="D70" s="113">
        <v>33757986</v>
      </c>
      <c r="E70" s="113">
        <f t="shared" ref="E70:E81" si="9">D70-C70</f>
        <v>3144173</v>
      </c>
      <c r="F70" s="114">
        <f t="shared" ref="F70:F81" si="10">IF(C70=0,0,E70/C70)</f>
        <v>0.10270439033517322</v>
      </c>
    </row>
    <row r="71" spans="1:6" x14ac:dyDescent="0.2">
      <c r="A71" s="115">
        <v>2</v>
      </c>
      <c r="B71" s="116" t="s">
        <v>114</v>
      </c>
      <c r="C71" s="113">
        <v>12956316</v>
      </c>
      <c r="D71" s="113">
        <v>12674437</v>
      </c>
      <c r="E71" s="113">
        <f t="shared" si="9"/>
        <v>-281879</v>
      </c>
      <c r="F71" s="114">
        <f t="shared" si="10"/>
        <v>-2.1756107214427309E-2</v>
      </c>
    </row>
    <row r="72" spans="1:6" x14ac:dyDescent="0.2">
      <c r="A72" s="115">
        <v>3</v>
      </c>
      <c r="B72" s="116" t="s">
        <v>115</v>
      </c>
      <c r="C72" s="113">
        <v>30325692</v>
      </c>
      <c r="D72" s="113">
        <v>37041345</v>
      </c>
      <c r="E72" s="113">
        <f t="shared" si="9"/>
        <v>6715653</v>
      </c>
      <c r="F72" s="114">
        <f t="shared" si="10"/>
        <v>0.22145094001482307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96023</v>
      </c>
      <c r="D74" s="113">
        <v>136194</v>
      </c>
      <c r="E74" s="113">
        <f t="shared" si="9"/>
        <v>40171</v>
      </c>
      <c r="F74" s="114">
        <f t="shared" si="10"/>
        <v>0.41834768753319518</v>
      </c>
    </row>
    <row r="75" spans="1:6" x14ac:dyDescent="0.2">
      <c r="A75" s="115">
        <v>6</v>
      </c>
      <c r="B75" s="116" t="s">
        <v>118</v>
      </c>
      <c r="C75" s="113">
        <v>20903085</v>
      </c>
      <c r="D75" s="113">
        <v>16087770</v>
      </c>
      <c r="E75" s="113">
        <f t="shared" si="9"/>
        <v>-4815315</v>
      </c>
      <c r="F75" s="114">
        <f t="shared" si="10"/>
        <v>-0.23036384342311195</v>
      </c>
    </row>
    <row r="76" spans="1:6" x14ac:dyDescent="0.2">
      <c r="A76" s="115">
        <v>7</v>
      </c>
      <c r="B76" s="116" t="s">
        <v>119</v>
      </c>
      <c r="C76" s="113">
        <v>51801160</v>
      </c>
      <c r="D76" s="113">
        <v>56095916</v>
      </c>
      <c r="E76" s="113">
        <f t="shared" si="9"/>
        <v>4294756</v>
      </c>
      <c r="F76" s="114">
        <f t="shared" si="10"/>
        <v>8.2908490852328404E-2</v>
      </c>
    </row>
    <row r="77" spans="1:6" x14ac:dyDescent="0.2">
      <c r="A77" s="115">
        <v>8</v>
      </c>
      <c r="B77" s="116" t="s">
        <v>120</v>
      </c>
      <c r="C77" s="113">
        <v>3480815</v>
      </c>
      <c r="D77" s="113">
        <v>2722879</v>
      </c>
      <c r="E77" s="113">
        <f t="shared" si="9"/>
        <v>-757936</v>
      </c>
      <c r="F77" s="114">
        <f t="shared" si="10"/>
        <v>-0.21774670587204434</v>
      </c>
    </row>
    <row r="78" spans="1:6" x14ac:dyDescent="0.2">
      <c r="A78" s="115">
        <v>9</v>
      </c>
      <c r="B78" s="116" t="s">
        <v>121</v>
      </c>
      <c r="C78" s="113">
        <v>6483695</v>
      </c>
      <c r="D78" s="113">
        <v>8600270</v>
      </c>
      <c r="E78" s="113">
        <f t="shared" si="9"/>
        <v>2116575</v>
      </c>
      <c r="F78" s="114">
        <f t="shared" si="10"/>
        <v>0.3264457998101391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124114</v>
      </c>
      <c r="D80" s="113">
        <v>198063</v>
      </c>
      <c r="E80" s="113">
        <f t="shared" si="9"/>
        <v>73949</v>
      </c>
      <c r="F80" s="114">
        <f t="shared" si="10"/>
        <v>0.59581513769598915</v>
      </c>
    </row>
    <row r="81" spans="1:6" ht="15.75" x14ac:dyDescent="0.25">
      <c r="A81" s="117"/>
      <c r="B81" s="118" t="s">
        <v>133</v>
      </c>
      <c r="C81" s="119">
        <f>SUM(C70:C80)</f>
        <v>156784713</v>
      </c>
      <c r="D81" s="119">
        <f>SUM(D70:D80)</f>
        <v>167314860</v>
      </c>
      <c r="E81" s="119">
        <f t="shared" si="9"/>
        <v>10530147</v>
      </c>
      <c r="F81" s="120">
        <f t="shared" si="10"/>
        <v>6.7163097718589443E-2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104150611</v>
      </c>
      <c r="D84" s="119">
        <f t="shared" si="11"/>
        <v>119140962</v>
      </c>
      <c r="E84" s="119">
        <f t="shared" ref="E84:E95" si="12">D84-C84</f>
        <v>14990351</v>
      </c>
      <c r="F84" s="120">
        <f t="shared" ref="F84:F95" si="13">IF(C84=0,0,E84/C84)</f>
        <v>0.14392955409546276</v>
      </c>
    </row>
    <row r="85" spans="1:6" ht="15.75" x14ac:dyDescent="0.25">
      <c r="A85" s="130">
        <v>2</v>
      </c>
      <c r="B85" s="122" t="s">
        <v>114</v>
      </c>
      <c r="C85" s="119">
        <f t="shared" si="11"/>
        <v>42043123</v>
      </c>
      <c r="D85" s="119">
        <f t="shared" si="11"/>
        <v>45621922</v>
      </c>
      <c r="E85" s="119">
        <f t="shared" si="12"/>
        <v>3578799</v>
      </c>
      <c r="F85" s="120">
        <f t="shared" si="13"/>
        <v>8.5122101895237418E-2</v>
      </c>
    </row>
    <row r="86" spans="1:6" ht="15.75" x14ac:dyDescent="0.25">
      <c r="A86" s="130">
        <v>3</v>
      </c>
      <c r="B86" s="122" t="s">
        <v>115</v>
      </c>
      <c r="C86" s="119">
        <f t="shared" si="11"/>
        <v>62792573</v>
      </c>
      <c r="D86" s="119">
        <f t="shared" si="11"/>
        <v>74354859</v>
      </c>
      <c r="E86" s="119">
        <f t="shared" si="12"/>
        <v>11562286</v>
      </c>
      <c r="F86" s="120">
        <f t="shared" si="13"/>
        <v>0.18413461095152128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265372</v>
      </c>
      <c r="D88" s="119">
        <f t="shared" si="11"/>
        <v>317387</v>
      </c>
      <c r="E88" s="119">
        <f t="shared" si="12"/>
        <v>52015</v>
      </c>
      <c r="F88" s="120">
        <f t="shared" si="13"/>
        <v>0.19600786820011154</v>
      </c>
    </row>
    <row r="89" spans="1:6" ht="15.75" x14ac:dyDescent="0.25">
      <c r="A89" s="130">
        <v>6</v>
      </c>
      <c r="B89" s="122" t="s">
        <v>118</v>
      </c>
      <c r="C89" s="119">
        <f t="shared" si="11"/>
        <v>43186797</v>
      </c>
      <c r="D89" s="119">
        <f t="shared" si="11"/>
        <v>22477703</v>
      </c>
      <c r="E89" s="119">
        <f t="shared" si="12"/>
        <v>-20709094</v>
      </c>
      <c r="F89" s="120">
        <f t="shared" si="13"/>
        <v>-0.47952373036601903</v>
      </c>
    </row>
    <row r="90" spans="1:6" ht="15.75" x14ac:dyDescent="0.25">
      <c r="A90" s="130">
        <v>7</v>
      </c>
      <c r="B90" s="122" t="s">
        <v>119</v>
      </c>
      <c r="C90" s="119">
        <f t="shared" si="11"/>
        <v>121906395</v>
      </c>
      <c r="D90" s="119">
        <f t="shared" si="11"/>
        <v>120206832</v>
      </c>
      <c r="E90" s="119">
        <f t="shared" si="12"/>
        <v>-1699563</v>
      </c>
      <c r="F90" s="120">
        <f t="shared" si="13"/>
        <v>-1.3941540966739276E-2</v>
      </c>
    </row>
    <row r="91" spans="1:6" ht="15.75" x14ac:dyDescent="0.25">
      <c r="A91" s="130">
        <v>8</v>
      </c>
      <c r="B91" s="122" t="s">
        <v>120</v>
      </c>
      <c r="C91" s="119">
        <f t="shared" si="11"/>
        <v>8882800</v>
      </c>
      <c r="D91" s="119">
        <f t="shared" si="11"/>
        <v>6127686</v>
      </c>
      <c r="E91" s="119">
        <f t="shared" si="12"/>
        <v>-2755114</v>
      </c>
      <c r="F91" s="120">
        <f t="shared" si="13"/>
        <v>-0.3101627865087585</v>
      </c>
    </row>
    <row r="92" spans="1:6" ht="15.75" x14ac:dyDescent="0.25">
      <c r="A92" s="130">
        <v>9</v>
      </c>
      <c r="B92" s="122" t="s">
        <v>121</v>
      </c>
      <c r="C92" s="119">
        <f t="shared" si="11"/>
        <v>9195412</v>
      </c>
      <c r="D92" s="119">
        <f t="shared" si="11"/>
        <v>11601589</v>
      </c>
      <c r="E92" s="119">
        <f t="shared" si="12"/>
        <v>2406177</v>
      </c>
      <c r="F92" s="120">
        <f t="shared" si="13"/>
        <v>0.2616714726865963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252802</v>
      </c>
      <c r="D94" s="119">
        <f t="shared" si="11"/>
        <v>800384</v>
      </c>
      <c r="E94" s="119">
        <f t="shared" si="12"/>
        <v>547582</v>
      </c>
      <c r="F94" s="120">
        <f t="shared" si="13"/>
        <v>2.1660509014960323</v>
      </c>
    </row>
    <row r="95" spans="1:6" ht="18.75" customHeight="1" thickBot="1" x14ac:dyDescent="0.3">
      <c r="A95" s="131"/>
      <c r="B95" s="132" t="s">
        <v>134</v>
      </c>
      <c r="C95" s="128">
        <f>SUM(C84:C94)</f>
        <v>392675885</v>
      </c>
      <c r="D95" s="128">
        <f>SUM(D84:D94)</f>
        <v>400649324</v>
      </c>
      <c r="E95" s="128">
        <f t="shared" si="12"/>
        <v>7973439</v>
      </c>
      <c r="F95" s="129">
        <f t="shared" si="13"/>
        <v>2.0305395122493963E-2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5831</v>
      </c>
      <c r="D100" s="133">
        <v>5480</v>
      </c>
      <c r="E100" s="133">
        <f t="shared" ref="E100:E111" si="14">D100-C100</f>
        <v>-351</v>
      </c>
      <c r="F100" s="114">
        <f t="shared" ref="F100:F111" si="15">IF(C100=0,0,E100/C100)</f>
        <v>-6.0195506774138229E-2</v>
      </c>
    </row>
    <row r="101" spans="1:6" x14ac:dyDescent="0.2">
      <c r="A101" s="115">
        <v>2</v>
      </c>
      <c r="B101" s="116" t="s">
        <v>114</v>
      </c>
      <c r="C101" s="133">
        <v>2431</v>
      </c>
      <c r="D101" s="133">
        <v>2222</v>
      </c>
      <c r="E101" s="133">
        <f t="shared" si="14"/>
        <v>-209</v>
      </c>
      <c r="F101" s="114">
        <f t="shared" si="15"/>
        <v>-8.5972850678733032E-2</v>
      </c>
    </row>
    <row r="102" spans="1:6" x14ac:dyDescent="0.2">
      <c r="A102" s="115">
        <v>3</v>
      </c>
      <c r="B102" s="116" t="s">
        <v>115</v>
      </c>
      <c r="C102" s="133">
        <v>4699</v>
      </c>
      <c r="D102" s="133">
        <v>4455</v>
      </c>
      <c r="E102" s="133">
        <f t="shared" si="14"/>
        <v>-244</v>
      </c>
      <c r="F102" s="114">
        <f t="shared" si="15"/>
        <v>-5.1925941689721214E-2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19</v>
      </c>
      <c r="D104" s="133">
        <v>17</v>
      </c>
      <c r="E104" s="133">
        <f t="shared" si="14"/>
        <v>-2</v>
      </c>
      <c r="F104" s="114">
        <f t="shared" si="15"/>
        <v>-0.10526315789473684</v>
      </c>
    </row>
    <row r="105" spans="1:6" x14ac:dyDescent="0.2">
      <c r="A105" s="115">
        <v>6</v>
      </c>
      <c r="B105" s="116" t="s">
        <v>118</v>
      </c>
      <c r="C105" s="133">
        <v>2135</v>
      </c>
      <c r="D105" s="133">
        <v>693</v>
      </c>
      <c r="E105" s="133">
        <f t="shared" si="14"/>
        <v>-1442</v>
      </c>
      <c r="F105" s="114">
        <f t="shared" si="15"/>
        <v>-0.67540983606557381</v>
      </c>
    </row>
    <row r="106" spans="1:6" x14ac:dyDescent="0.2">
      <c r="A106" s="115">
        <v>7</v>
      </c>
      <c r="B106" s="116" t="s">
        <v>119</v>
      </c>
      <c r="C106" s="133">
        <v>2522</v>
      </c>
      <c r="D106" s="133">
        <v>3712</v>
      </c>
      <c r="E106" s="133">
        <f t="shared" si="14"/>
        <v>1190</v>
      </c>
      <c r="F106" s="114">
        <f t="shared" si="15"/>
        <v>0.47184773988897699</v>
      </c>
    </row>
    <row r="107" spans="1:6" x14ac:dyDescent="0.2">
      <c r="A107" s="115">
        <v>8</v>
      </c>
      <c r="B107" s="116" t="s">
        <v>120</v>
      </c>
      <c r="C107" s="133">
        <v>100</v>
      </c>
      <c r="D107" s="133">
        <v>98</v>
      </c>
      <c r="E107" s="133">
        <f t="shared" si="14"/>
        <v>-2</v>
      </c>
      <c r="F107" s="114">
        <f t="shared" si="15"/>
        <v>-0.02</v>
      </c>
    </row>
    <row r="108" spans="1:6" x14ac:dyDescent="0.2">
      <c r="A108" s="115">
        <v>9</v>
      </c>
      <c r="B108" s="116" t="s">
        <v>121</v>
      </c>
      <c r="C108" s="133">
        <v>521</v>
      </c>
      <c r="D108" s="133">
        <v>433</v>
      </c>
      <c r="E108" s="133">
        <f t="shared" si="14"/>
        <v>-88</v>
      </c>
      <c r="F108" s="114">
        <f t="shared" si="15"/>
        <v>-0.16890595009596929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50</v>
      </c>
      <c r="D110" s="133">
        <v>62</v>
      </c>
      <c r="E110" s="133">
        <f t="shared" si="14"/>
        <v>12</v>
      </c>
      <c r="F110" s="114">
        <f t="shared" si="15"/>
        <v>0.24</v>
      </c>
    </row>
    <row r="111" spans="1:6" ht="15.75" x14ac:dyDescent="0.25">
      <c r="A111" s="117"/>
      <c r="B111" s="118" t="s">
        <v>138</v>
      </c>
      <c r="C111" s="134">
        <f>SUM(C100:C110)</f>
        <v>18308</v>
      </c>
      <c r="D111" s="134">
        <f>SUM(D100:D110)</f>
        <v>17172</v>
      </c>
      <c r="E111" s="134">
        <f t="shared" si="14"/>
        <v>-1136</v>
      </c>
      <c r="F111" s="120">
        <f t="shared" si="15"/>
        <v>-6.2049377321389557E-2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39153</v>
      </c>
      <c r="D113" s="133">
        <v>35672</v>
      </c>
      <c r="E113" s="133">
        <f t="shared" ref="E113:E124" si="16">D113-C113</f>
        <v>-3481</v>
      </c>
      <c r="F113" s="114">
        <f t="shared" ref="F113:F124" si="17">IF(C113=0,0,E113/C113)</f>
        <v>-8.8907618828697674E-2</v>
      </c>
    </row>
    <row r="114" spans="1:6" x14ac:dyDescent="0.2">
      <c r="A114" s="115">
        <v>2</v>
      </c>
      <c r="B114" s="116" t="s">
        <v>114</v>
      </c>
      <c r="C114" s="133">
        <v>15967</v>
      </c>
      <c r="D114" s="133">
        <v>13561</v>
      </c>
      <c r="E114" s="133">
        <f t="shared" si="16"/>
        <v>-2406</v>
      </c>
      <c r="F114" s="114">
        <f t="shared" si="17"/>
        <v>-0.1506857894407215</v>
      </c>
    </row>
    <row r="115" spans="1:6" x14ac:dyDescent="0.2">
      <c r="A115" s="115">
        <v>3</v>
      </c>
      <c r="B115" s="116" t="s">
        <v>115</v>
      </c>
      <c r="C115" s="133">
        <v>30133</v>
      </c>
      <c r="D115" s="133">
        <v>26069</v>
      </c>
      <c r="E115" s="133">
        <f t="shared" si="16"/>
        <v>-4064</v>
      </c>
      <c r="F115" s="114">
        <f t="shared" si="17"/>
        <v>-0.13486874854810341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58</v>
      </c>
      <c r="D117" s="133">
        <v>68</v>
      </c>
      <c r="E117" s="133">
        <f t="shared" si="16"/>
        <v>10</v>
      </c>
      <c r="F117" s="114">
        <f t="shared" si="17"/>
        <v>0.17241379310344829</v>
      </c>
    </row>
    <row r="118" spans="1:6" x14ac:dyDescent="0.2">
      <c r="A118" s="115">
        <v>6</v>
      </c>
      <c r="B118" s="116" t="s">
        <v>118</v>
      </c>
      <c r="C118" s="133">
        <v>10363</v>
      </c>
      <c r="D118" s="133">
        <v>3321</v>
      </c>
      <c r="E118" s="133">
        <f t="shared" si="16"/>
        <v>-7042</v>
      </c>
      <c r="F118" s="114">
        <f t="shared" si="17"/>
        <v>-0.6795329537778636</v>
      </c>
    </row>
    <row r="119" spans="1:6" x14ac:dyDescent="0.2">
      <c r="A119" s="115">
        <v>7</v>
      </c>
      <c r="B119" s="116" t="s">
        <v>119</v>
      </c>
      <c r="C119" s="133">
        <v>12313</v>
      </c>
      <c r="D119" s="133">
        <v>16420</v>
      </c>
      <c r="E119" s="133">
        <f t="shared" si="16"/>
        <v>4107</v>
      </c>
      <c r="F119" s="114">
        <f t="shared" si="17"/>
        <v>0.33354990660277756</v>
      </c>
    </row>
    <row r="120" spans="1:6" x14ac:dyDescent="0.2">
      <c r="A120" s="115">
        <v>8</v>
      </c>
      <c r="B120" s="116" t="s">
        <v>120</v>
      </c>
      <c r="C120" s="133">
        <v>507</v>
      </c>
      <c r="D120" s="133">
        <v>407</v>
      </c>
      <c r="E120" s="133">
        <f t="shared" si="16"/>
        <v>-100</v>
      </c>
      <c r="F120" s="114">
        <f t="shared" si="17"/>
        <v>-0.19723865877712032</v>
      </c>
    </row>
    <row r="121" spans="1:6" x14ac:dyDescent="0.2">
      <c r="A121" s="115">
        <v>9</v>
      </c>
      <c r="B121" s="116" t="s">
        <v>121</v>
      </c>
      <c r="C121" s="133">
        <v>2357</v>
      </c>
      <c r="D121" s="133">
        <v>2448</v>
      </c>
      <c r="E121" s="133">
        <f t="shared" si="16"/>
        <v>91</v>
      </c>
      <c r="F121" s="114">
        <f t="shared" si="17"/>
        <v>3.8608400509121767E-2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294</v>
      </c>
      <c r="D123" s="133">
        <v>305</v>
      </c>
      <c r="E123" s="133">
        <f t="shared" si="16"/>
        <v>11</v>
      </c>
      <c r="F123" s="114">
        <f t="shared" si="17"/>
        <v>3.7414965986394558E-2</v>
      </c>
    </row>
    <row r="124" spans="1:6" ht="15.75" x14ac:dyDescent="0.25">
      <c r="A124" s="117"/>
      <c r="B124" s="118" t="s">
        <v>140</v>
      </c>
      <c r="C124" s="134">
        <f>SUM(C113:C123)</f>
        <v>111145</v>
      </c>
      <c r="D124" s="134">
        <f>SUM(D113:D123)</f>
        <v>98271</v>
      </c>
      <c r="E124" s="134">
        <f t="shared" si="16"/>
        <v>-12874</v>
      </c>
      <c r="F124" s="120">
        <f t="shared" si="17"/>
        <v>-0.11583067164514824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27936</v>
      </c>
      <c r="D126" s="133">
        <v>39820</v>
      </c>
      <c r="E126" s="133">
        <f t="shared" ref="E126:E137" si="18">D126-C126</f>
        <v>11884</v>
      </c>
      <c r="F126" s="114">
        <f t="shared" ref="F126:F137" si="19">IF(C126=0,0,E126/C126)</f>
        <v>0.42540091638029781</v>
      </c>
    </row>
    <row r="127" spans="1:6" x14ac:dyDescent="0.2">
      <c r="A127" s="115">
        <v>2</v>
      </c>
      <c r="B127" s="116" t="s">
        <v>114</v>
      </c>
      <c r="C127" s="133">
        <v>11143</v>
      </c>
      <c r="D127" s="133">
        <v>15209</v>
      </c>
      <c r="E127" s="133">
        <f t="shared" si="18"/>
        <v>4066</v>
      </c>
      <c r="F127" s="114">
        <f t="shared" si="19"/>
        <v>0.36489275778515662</v>
      </c>
    </row>
    <row r="128" spans="1:6" x14ac:dyDescent="0.2">
      <c r="A128" s="115">
        <v>3</v>
      </c>
      <c r="B128" s="116" t="s">
        <v>115</v>
      </c>
      <c r="C128" s="133">
        <v>56782</v>
      </c>
      <c r="D128" s="133">
        <v>59855</v>
      </c>
      <c r="E128" s="133">
        <f t="shared" si="18"/>
        <v>3073</v>
      </c>
      <c r="F128" s="114">
        <f t="shared" si="19"/>
        <v>5.4119263146771866E-2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202</v>
      </c>
      <c r="D130" s="133">
        <v>157</v>
      </c>
      <c r="E130" s="133">
        <f t="shared" si="18"/>
        <v>-45</v>
      </c>
      <c r="F130" s="114">
        <f t="shared" si="19"/>
        <v>-0.22277227722772278</v>
      </c>
    </row>
    <row r="131" spans="1:6" x14ac:dyDescent="0.2">
      <c r="A131" s="115">
        <v>6</v>
      </c>
      <c r="B131" s="116" t="s">
        <v>118</v>
      </c>
      <c r="C131" s="133">
        <v>33198</v>
      </c>
      <c r="D131" s="133">
        <v>12834</v>
      </c>
      <c r="E131" s="133">
        <f t="shared" si="18"/>
        <v>-20364</v>
      </c>
      <c r="F131" s="114">
        <f t="shared" si="19"/>
        <v>-0.61341044641243447</v>
      </c>
    </row>
    <row r="132" spans="1:6" x14ac:dyDescent="0.2">
      <c r="A132" s="115">
        <v>7</v>
      </c>
      <c r="B132" s="116" t="s">
        <v>119</v>
      </c>
      <c r="C132" s="133">
        <v>26347</v>
      </c>
      <c r="D132" s="133">
        <v>35611</v>
      </c>
      <c r="E132" s="133">
        <f t="shared" si="18"/>
        <v>9264</v>
      </c>
      <c r="F132" s="114">
        <f t="shared" si="19"/>
        <v>0.35161498462823093</v>
      </c>
    </row>
    <row r="133" spans="1:6" x14ac:dyDescent="0.2">
      <c r="A133" s="115">
        <v>8</v>
      </c>
      <c r="B133" s="116" t="s">
        <v>120</v>
      </c>
      <c r="C133" s="133">
        <v>2573</v>
      </c>
      <c r="D133" s="133">
        <v>1545</v>
      </c>
      <c r="E133" s="133">
        <f t="shared" si="18"/>
        <v>-1028</v>
      </c>
      <c r="F133" s="114">
        <f t="shared" si="19"/>
        <v>-0.39953361834434514</v>
      </c>
    </row>
    <row r="134" spans="1:6" x14ac:dyDescent="0.2">
      <c r="A134" s="115">
        <v>9</v>
      </c>
      <c r="B134" s="116" t="s">
        <v>121</v>
      </c>
      <c r="C134" s="133">
        <v>17650</v>
      </c>
      <c r="D134" s="133">
        <v>19010</v>
      </c>
      <c r="E134" s="133">
        <f t="shared" si="18"/>
        <v>1360</v>
      </c>
      <c r="F134" s="114">
        <f t="shared" si="19"/>
        <v>7.705382436260623E-2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491</v>
      </c>
      <c r="D136" s="133">
        <v>545</v>
      </c>
      <c r="E136" s="133">
        <f t="shared" si="18"/>
        <v>54</v>
      </c>
      <c r="F136" s="114">
        <f t="shared" si="19"/>
        <v>0.10997963340122199</v>
      </c>
    </row>
    <row r="137" spans="1:6" ht="15.75" x14ac:dyDescent="0.25">
      <c r="A137" s="117"/>
      <c r="B137" s="118" t="s">
        <v>142</v>
      </c>
      <c r="C137" s="134">
        <f>SUM(C126:C136)</f>
        <v>176322</v>
      </c>
      <c r="D137" s="134">
        <f>SUM(D126:D136)</f>
        <v>184586</v>
      </c>
      <c r="E137" s="134">
        <f t="shared" si="18"/>
        <v>8264</v>
      </c>
      <c r="F137" s="120">
        <f t="shared" si="19"/>
        <v>4.6868796860289698E-2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19172119</v>
      </c>
      <c r="D142" s="113">
        <v>23198009</v>
      </c>
      <c r="E142" s="113">
        <f t="shared" ref="E142:E153" si="20">D142-C142</f>
        <v>4025890</v>
      </c>
      <c r="F142" s="114">
        <f t="shared" ref="F142:F153" si="21">IF(C142=0,0,E142/C142)</f>
        <v>0.20998669995737038</v>
      </c>
    </row>
    <row r="143" spans="1:6" x14ac:dyDescent="0.2">
      <c r="A143" s="115">
        <v>2</v>
      </c>
      <c r="B143" s="116" t="s">
        <v>114</v>
      </c>
      <c r="C143" s="113">
        <v>8837935</v>
      </c>
      <c r="D143" s="113">
        <v>10219538</v>
      </c>
      <c r="E143" s="113">
        <f t="shared" si="20"/>
        <v>1381603</v>
      </c>
      <c r="F143" s="114">
        <f t="shared" si="21"/>
        <v>0.15632644956089856</v>
      </c>
    </row>
    <row r="144" spans="1:6" x14ac:dyDescent="0.2">
      <c r="A144" s="115">
        <v>3</v>
      </c>
      <c r="B144" s="116" t="s">
        <v>115</v>
      </c>
      <c r="C144" s="113">
        <v>54885348</v>
      </c>
      <c r="D144" s="113">
        <v>61572177</v>
      </c>
      <c r="E144" s="113">
        <f t="shared" si="20"/>
        <v>6686829</v>
      </c>
      <c r="F144" s="114">
        <f t="shared" si="21"/>
        <v>0.12183267927899447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240443</v>
      </c>
      <c r="D146" s="113">
        <v>308265</v>
      </c>
      <c r="E146" s="113">
        <f t="shared" si="20"/>
        <v>67822</v>
      </c>
      <c r="F146" s="114">
        <f t="shared" si="21"/>
        <v>0.2820710105929472</v>
      </c>
    </row>
    <row r="147" spans="1:6" x14ac:dyDescent="0.2">
      <c r="A147" s="115">
        <v>6</v>
      </c>
      <c r="B147" s="116" t="s">
        <v>118</v>
      </c>
      <c r="C147" s="113">
        <v>7910054</v>
      </c>
      <c r="D147" s="113">
        <v>9896542</v>
      </c>
      <c r="E147" s="113">
        <f t="shared" si="20"/>
        <v>1986488</v>
      </c>
      <c r="F147" s="114">
        <f t="shared" si="21"/>
        <v>0.25113456873998585</v>
      </c>
    </row>
    <row r="148" spans="1:6" x14ac:dyDescent="0.2">
      <c r="A148" s="115">
        <v>7</v>
      </c>
      <c r="B148" s="116" t="s">
        <v>119</v>
      </c>
      <c r="C148" s="113">
        <v>29757923</v>
      </c>
      <c r="D148" s="113">
        <v>36366997</v>
      </c>
      <c r="E148" s="113">
        <f t="shared" si="20"/>
        <v>6609074</v>
      </c>
      <c r="F148" s="114">
        <f t="shared" si="21"/>
        <v>0.22209459981464433</v>
      </c>
    </row>
    <row r="149" spans="1:6" x14ac:dyDescent="0.2">
      <c r="A149" s="115">
        <v>8</v>
      </c>
      <c r="B149" s="116" t="s">
        <v>120</v>
      </c>
      <c r="C149" s="113">
        <v>2109384</v>
      </c>
      <c r="D149" s="113">
        <v>2542879</v>
      </c>
      <c r="E149" s="113">
        <f t="shared" si="20"/>
        <v>433495</v>
      </c>
      <c r="F149" s="114">
        <f t="shared" si="21"/>
        <v>0.20550786390718806</v>
      </c>
    </row>
    <row r="150" spans="1:6" x14ac:dyDescent="0.2">
      <c r="A150" s="115">
        <v>9</v>
      </c>
      <c r="B150" s="116" t="s">
        <v>121</v>
      </c>
      <c r="C150" s="113">
        <v>14385861</v>
      </c>
      <c r="D150" s="113">
        <v>16273745</v>
      </c>
      <c r="E150" s="113">
        <f t="shared" si="20"/>
        <v>1887884</v>
      </c>
      <c r="F150" s="114">
        <f t="shared" si="21"/>
        <v>0.1312319088860931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959607</v>
      </c>
      <c r="D152" s="113">
        <v>1564247</v>
      </c>
      <c r="E152" s="113">
        <f t="shared" si="20"/>
        <v>604640</v>
      </c>
      <c r="F152" s="114">
        <f t="shared" si="21"/>
        <v>0.63009127694983469</v>
      </c>
    </row>
    <row r="153" spans="1:6" ht="33.75" customHeight="1" x14ac:dyDescent="0.25">
      <c r="A153" s="117"/>
      <c r="B153" s="118" t="s">
        <v>146</v>
      </c>
      <c r="C153" s="119">
        <f>SUM(C142:C152)</f>
        <v>138258674</v>
      </c>
      <c r="D153" s="119">
        <f>SUM(D142:D152)</f>
        <v>161942399</v>
      </c>
      <c r="E153" s="119">
        <f t="shared" si="20"/>
        <v>23683725</v>
      </c>
      <c r="F153" s="120">
        <f t="shared" si="21"/>
        <v>0.17130010229954903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6777269</v>
      </c>
      <c r="D155" s="113">
        <v>7939926</v>
      </c>
      <c r="E155" s="113">
        <f t="shared" ref="E155:E166" si="22">D155-C155</f>
        <v>1162657</v>
      </c>
      <c r="F155" s="114">
        <f t="shared" ref="F155:F166" si="23">IF(C155=0,0,E155/C155)</f>
        <v>0.1715524350590186</v>
      </c>
    </row>
    <row r="156" spans="1:6" x14ac:dyDescent="0.2">
      <c r="A156" s="115">
        <v>2</v>
      </c>
      <c r="B156" s="116" t="s">
        <v>114</v>
      </c>
      <c r="C156" s="113">
        <v>2470720</v>
      </c>
      <c r="D156" s="113">
        <v>3795854</v>
      </c>
      <c r="E156" s="113">
        <f t="shared" si="22"/>
        <v>1325134</v>
      </c>
      <c r="F156" s="114">
        <f t="shared" si="23"/>
        <v>0.53633515736303583</v>
      </c>
    </row>
    <row r="157" spans="1:6" x14ac:dyDescent="0.2">
      <c r="A157" s="115">
        <v>3</v>
      </c>
      <c r="B157" s="116" t="s">
        <v>115</v>
      </c>
      <c r="C157" s="113">
        <v>10523621</v>
      </c>
      <c r="D157" s="113">
        <v>13574853</v>
      </c>
      <c r="E157" s="113">
        <f t="shared" si="22"/>
        <v>3051232</v>
      </c>
      <c r="F157" s="114">
        <f t="shared" si="23"/>
        <v>0.28994126641390827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44309</v>
      </c>
      <c r="D159" s="113">
        <v>78029</v>
      </c>
      <c r="E159" s="113">
        <f t="shared" si="22"/>
        <v>33720</v>
      </c>
      <c r="F159" s="114">
        <f t="shared" si="23"/>
        <v>0.76101920603037754</v>
      </c>
    </row>
    <row r="160" spans="1:6" x14ac:dyDescent="0.2">
      <c r="A160" s="115">
        <v>6</v>
      </c>
      <c r="B160" s="116" t="s">
        <v>118</v>
      </c>
      <c r="C160" s="113">
        <v>13014238</v>
      </c>
      <c r="D160" s="113">
        <v>6405451</v>
      </c>
      <c r="E160" s="113">
        <f t="shared" si="22"/>
        <v>-6608787</v>
      </c>
      <c r="F160" s="114">
        <f t="shared" si="23"/>
        <v>-0.50781205937681484</v>
      </c>
    </row>
    <row r="161" spans="1:6" x14ac:dyDescent="0.2">
      <c r="A161" s="115">
        <v>7</v>
      </c>
      <c r="B161" s="116" t="s">
        <v>119</v>
      </c>
      <c r="C161" s="113">
        <v>12088367</v>
      </c>
      <c r="D161" s="113">
        <v>27180896</v>
      </c>
      <c r="E161" s="113">
        <f t="shared" si="22"/>
        <v>15092529</v>
      </c>
      <c r="F161" s="114">
        <f t="shared" si="23"/>
        <v>1.248516776500912</v>
      </c>
    </row>
    <row r="162" spans="1:6" x14ac:dyDescent="0.2">
      <c r="A162" s="115">
        <v>8</v>
      </c>
      <c r="B162" s="116" t="s">
        <v>120</v>
      </c>
      <c r="C162" s="113">
        <v>1588252</v>
      </c>
      <c r="D162" s="113">
        <v>996098</v>
      </c>
      <c r="E162" s="113">
        <f t="shared" si="22"/>
        <v>-592154</v>
      </c>
      <c r="F162" s="114">
        <f t="shared" si="23"/>
        <v>-0.37283378204466294</v>
      </c>
    </row>
    <row r="163" spans="1:6" x14ac:dyDescent="0.2">
      <c r="A163" s="115">
        <v>9</v>
      </c>
      <c r="B163" s="116" t="s">
        <v>121</v>
      </c>
      <c r="C163" s="113">
        <v>284672</v>
      </c>
      <c r="D163" s="113">
        <v>392963</v>
      </c>
      <c r="E163" s="113">
        <f t="shared" si="22"/>
        <v>108291</v>
      </c>
      <c r="F163" s="114">
        <f t="shared" si="23"/>
        <v>0.38040622189748202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217214</v>
      </c>
      <c r="D165" s="113">
        <v>65425</v>
      </c>
      <c r="E165" s="113">
        <f t="shared" si="22"/>
        <v>-151789</v>
      </c>
      <c r="F165" s="114">
        <f t="shared" si="23"/>
        <v>-0.69879934074230943</v>
      </c>
    </row>
    <row r="166" spans="1:6" ht="33.75" customHeight="1" x14ac:dyDescent="0.25">
      <c r="A166" s="117"/>
      <c r="B166" s="118" t="s">
        <v>148</v>
      </c>
      <c r="C166" s="119">
        <f>SUM(C155:C165)</f>
        <v>47008662</v>
      </c>
      <c r="D166" s="119">
        <f>SUM(D155:D165)</f>
        <v>60429495</v>
      </c>
      <c r="E166" s="119">
        <f t="shared" si="22"/>
        <v>13420833</v>
      </c>
      <c r="F166" s="120">
        <f t="shared" si="23"/>
        <v>0.28549702180419428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6802</v>
      </c>
      <c r="D168" s="133">
        <v>8232</v>
      </c>
      <c r="E168" s="133">
        <f t="shared" ref="E168:E179" si="24">D168-C168</f>
        <v>1430</v>
      </c>
      <c r="F168" s="114">
        <f t="shared" ref="F168:F179" si="25">IF(C168=0,0,E168/C168)</f>
        <v>0.21023228462216995</v>
      </c>
    </row>
    <row r="169" spans="1:6" x14ac:dyDescent="0.2">
      <c r="A169" s="115">
        <v>2</v>
      </c>
      <c r="B169" s="116" t="s">
        <v>114</v>
      </c>
      <c r="C169" s="133">
        <v>3102</v>
      </c>
      <c r="D169" s="133">
        <v>3793</v>
      </c>
      <c r="E169" s="133">
        <f t="shared" si="24"/>
        <v>691</v>
      </c>
      <c r="F169" s="114">
        <f t="shared" si="25"/>
        <v>0.22275950999355254</v>
      </c>
    </row>
    <row r="170" spans="1:6" x14ac:dyDescent="0.2">
      <c r="A170" s="115">
        <v>3</v>
      </c>
      <c r="B170" s="116" t="s">
        <v>115</v>
      </c>
      <c r="C170" s="133">
        <v>24144</v>
      </c>
      <c r="D170" s="133">
        <v>23496</v>
      </c>
      <c r="E170" s="133">
        <f t="shared" si="24"/>
        <v>-648</v>
      </c>
      <c r="F170" s="114">
        <f t="shared" si="25"/>
        <v>-2.6838966202783299E-2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94</v>
      </c>
      <c r="D172" s="133">
        <v>140</v>
      </c>
      <c r="E172" s="133">
        <f t="shared" si="24"/>
        <v>46</v>
      </c>
      <c r="F172" s="114">
        <f t="shared" si="25"/>
        <v>0.48936170212765956</v>
      </c>
    </row>
    <row r="173" spans="1:6" x14ac:dyDescent="0.2">
      <c r="A173" s="115">
        <v>6</v>
      </c>
      <c r="B173" s="116" t="s">
        <v>118</v>
      </c>
      <c r="C173" s="133">
        <v>6351</v>
      </c>
      <c r="D173" s="133">
        <v>3155</v>
      </c>
      <c r="E173" s="133">
        <f t="shared" si="24"/>
        <v>-3196</v>
      </c>
      <c r="F173" s="114">
        <f t="shared" si="25"/>
        <v>-0.50322783813572669</v>
      </c>
    </row>
    <row r="174" spans="1:6" x14ac:dyDescent="0.2">
      <c r="A174" s="115">
        <v>7</v>
      </c>
      <c r="B174" s="116" t="s">
        <v>119</v>
      </c>
      <c r="C174" s="133">
        <v>6586</v>
      </c>
      <c r="D174" s="133">
        <v>11320</v>
      </c>
      <c r="E174" s="133">
        <f t="shared" si="24"/>
        <v>4734</v>
      </c>
      <c r="F174" s="114">
        <f t="shared" si="25"/>
        <v>0.71879744913452781</v>
      </c>
    </row>
    <row r="175" spans="1:6" x14ac:dyDescent="0.2">
      <c r="A175" s="115">
        <v>8</v>
      </c>
      <c r="B175" s="116" t="s">
        <v>120</v>
      </c>
      <c r="C175" s="133">
        <v>821</v>
      </c>
      <c r="D175" s="133">
        <v>847</v>
      </c>
      <c r="E175" s="133">
        <f t="shared" si="24"/>
        <v>26</v>
      </c>
      <c r="F175" s="114">
        <f t="shared" si="25"/>
        <v>3.1668696711327646E-2</v>
      </c>
    </row>
    <row r="176" spans="1:6" x14ac:dyDescent="0.2">
      <c r="A176" s="115">
        <v>9</v>
      </c>
      <c r="B176" s="116" t="s">
        <v>121</v>
      </c>
      <c r="C176" s="133">
        <v>5981</v>
      </c>
      <c r="D176" s="133">
        <v>5871</v>
      </c>
      <c r="E176" s="133">
        <f t="shared" si="24"/>
        <v>-110</v>
      </c>
      <c r="F176" s="114">
        <f t="shared" si="25"/>
        <v>-1.839157331549908E-2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425</v>
      </c>
      <c r="D178" s="133">
        <v>485</v>
      </c>
      <c r="E178" s="133">
        <f t="shared" si="24"/>
        <v>60</v>
      </c>
      <c r="F178" s="114">
        <f t="shared" si="25"/>
        <v>0.14117647058823529</v>
      </c>
    </row>
    <row r="179" spans="1:6" ht="33.75" customHeight="1" x14ac:dyDescent="0.25">
      <c r="A179" s="117"/>
      <c r="B179" s="118" t="s">
        <v>150</v>
      </c>
      <c r="C179" s="134">
        <f>SUM(C168:C178)</f>
        <v>54306</v>
      </c>
      <c r="D179" s="134">
        <f>SUM(D168:D178)</f>
        <v>57339</v>
      </c>
      <c r="E179" s="134">
        <f t="shared" si="24"/>
        <v>3033</v>
      </c>
      <c r="F179" s="120">
        <f t="shared" si="25"/>
        <v>5.5850182300298312E-2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FILING&amp;RSAINT VINCENT`S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69408000</v>
      </c>
      <c r="D15" s="157">
        <v>64705000</v>
      </c>
      <c r="E15" s="157">
        <f>+D15-C15</f>
        <v>-4703000</v>
      </c>
      <c r="F15" s="161">
        <f>IF(C15=0,0,E15/C15)</f>
        <v>-6.7758759797141535E-2</v>
      </c>
    </row>
    <row r="16" spans="1:6" ht="15" customHeight="1" x14ac:dyDescent="0.2">
      <c r="A16" s="147">
        <v>2</v>
      </c>
      <c r="B16" s="160" t="s">
        <v>157</v>
      </c>
      <c r="C16" s="157">
        <v>7397000</v>
      </c>
      <c r="D16" s="157">
        <v>6701000</v>
      </c>
      <c r="E16" s="157">
        <f>+D16-C16</f>
        <v>-696000</v>
      </c>
      <c r="F16" s="161">
        <f>IF(C16=0,0,E16/C16)</f>
        <v>-9.4092199540354193E-2</v>
      </c>
    </row>
    <row r="17" spans="1:6" ht="15" customHeight="1" x14ac:dyDescent="0.2">
      <c r="A17" s="147">
        <v>3</v>
      </c>
      <c r="B17" s="160" t="s">
        <v>158</v>
      </c>
      <c r="C17" s="157">
        <v>77274000</v>
      </c>
      <c r="D17" s="157">
        <v>74260000</v>
      </c>
      <c r="E17" s="157">
        <f>+D17-C17</f>
        <v>-3014000</v>
      </c>
      <c r="F17" s="161">
        <f>IF(C17=0,0,E17/C17)</f>
        <v>-3.9004063462484147E-2</v>
      </c>
    </row>
    <row r="18" spans="1:6" ht="15.75" customHeight="1" x14ac:dyDescent="0.25">
      <c r="A18" s="147"/>
      <c r="B18" s="162" t="s">
        <v>159</v>
      </c>
      <c r="C18" s="158">
        <f>SUM(C15:C17)</f>
        <v>154079000</v>
      </c>
      <c r="D18" s="158">
        <f>SUM(D15:D17)</f>
        <v>145666000</v>
      </c>
      <c r="E18" s="158">
        <f>+D18-C18</f>
        <v>-8413000</v>
      </c>
      <c r="F18" s="159">
        <f>IF(C18=0,0,E18/C18)</f>
        <v>-5.4601860084761714E-2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17989000</v>
      </c>
      <c r="D21" s="157">
        <v>17695000</v>
      </c>
      <c r="E21" s="157">
        <f>+D21-C21</f>
        <v>-294000</v>
      </c>
      <c r="F21" s="161">
        <f>IF(C21=0,0,E21/C21)</f>
        <v>-1.6343320918338986E-2</v>
      </c>
    </row>
    <row r="22" spans="1:6" ht="15" customHeight="1" x14ac:dyDescent="0.2">
      <c r="A22" s="147">
        <v>2</v>
      </c>
      <c r="B22" s="160" t="s">
        <v>162</v>
      </c>
      <c r="C22" s="157">
        <v>1917000</v>
      </c>
      <c r="D22" s="157">
        <v>1833000</v>
      </c>
      <c r="E22" s="157">
        <f>+D22-C22</f>
        <v>-84000</v>
      </c>
      <c r="F22" s="161">
        <f>IF(C22=0,0,E22/C22)</f>
        <v>-4.3818466353677622E-2</v>
      </c>
    </row>
    <row r="23" spans="1:6" ht="15" customHeight="1" x14ac:dyDescent="0.2">
      <c r="A23" s="147">
        <v>3</v>
      </c>
      <c r="B23" s="160" t="s">
        <v>163</v>
      </c>
      <c r="C23" s="157">
        <v>20028000</v>
      </c>
      <c r="D23" s="157">
        <v>19751000</v>
      </c>
      <c r="E23" s="157">
        <f>+D23-C23</f>
        <v>-277000</v>
      </c>
      <c r="F23" s="161">
        <f>IF(C23=0,0,E23/C23)</f>
        <v>-1.3830637108048731E-2</v>
      </c>
    </row>
    <row r="24" spans="1:6" ht="15.75" customHeight="1" x14ac:dyDescent="0.25">
      <c r="A24" s="147"/>
      <c r="B24" s="162" t="s">
        <v>164</v>
      </c>
      <c r="C24" s="158">
        <f>SUM(C21:C23)</f>
        <v>39934000</v>
      </c>
      <c r="D24" s="158">
        <f>SUM(D21:D23)</f>
        <v>39279000</v>
      </c>
      <c r="E24" s="158">
        <f>+D24-C24</f>
        <v>-655000</v>
      </c>
      <c r="F24" s="159">
        <f>IF(C24=0,0,E24/C24)</f>
        <v>-1.6402063404617619E-2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1835000</v>
      </c>
      <c r="D27" s="157">
        <v>1032000</v>
      </c>
      <c r="E27" s="157">
        <f>+D27-C27</f>
        <v>-803000</v>
      </c>
      <c r="F27" s="161">
        <f>IF(C27=0,0,E27/C27)</f>
        <v>-0.43760217983651228</v>
      </c>
    </row>
    <row r="28" spans="1:6" ht="15" customHeight="1" x14ac:dyDescent="0.2">
      <c r="A28" s="147">
        <v>2</v>
      </c>
      <c r="B28" s="160" t="s">
        <v>167</v>
      </c>
      <c r="C28" s="157">
        <v>34044000</v>
      </c>
      <c r="D28" s="157">
        <v>37946000</v>
      </c>
      <c r="E28" s="157">
        <f>+D28-C28</f>
        <v>3902000</v>
      </c>
      <c r="F28" s="161">
        <f>IF(C28=0,0,E28/C28)</f>
        <v>0.11461637880390084</v>
      </c>
    </row>
    <row r="29" spans="1:6" ht="15" customHeight="1" x14ac:dyDescent="0.2">
      <c r="A29" s="147">
        <v>3</v>
      </c>
      <c r="B29" s="160" t="s">
        <v>168</v>
      </c>
      <c r="C29" s="157">
        <v>1315000</v>
      </c>
      <c r="D29" s="157">
        <v>1281000</v>
      </c>
      <c r="E29" s="157">
        <f>+D29-C29</f>
        <v>-34000</v>
      </c>
      <c r="F29" s="161">
        <f>IF(C29=0,0,E29/C29)</f>
        <v>-2.5855513307984791E-2</v>
      </c>
    </row>
    <row r="30" spans="1:6" ht="15.75" customHeight="1" x14ac:dyDescent="0.25">
      <c r="A30" s="147"/>
      <c r="B30" s="162" t="s">
        <v>169</v>
      </c>
      <c r="C30" s="158">
        <f>SUM(C27:C29)</f>
        <v>37194000</v>
      </c>
      <c r="D30" s="158">
        <f>SUM(D27:D29)</f>
        <v>40259000</v>
      </c>
      <c r="E30" s="158">
        <f>+D30-C30</f>
        <v>3065000</v>
      </c>
      <c r="F30" s="159">
        <f>IF(C30=0,0,E30/C30)</f>
        <v>8.2405764370597406E-2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31733000</v>
      </c>
      <c r="D33" s="157">
        <v>33492000</v>
      </c>
      <c r="E33" s="157">
        <f>+D33-C33</f>
        <v>1759000</v>
      </c>
      <c r="F33" s="161">
        <f>IF(C33=0,0,E33/C33)</f>
        <v>5.5431254529984555E-2</v>
      </c>
    </row>
    <row r="34" spans="1:6" ht="15" customHeight="1" x14ac:dyDescent="0.2">
      <c r="A34" s="147">
        <v>2</v>
      </c>
      <c r="B34" s="160" t="s">
        <v>173</v>
      </c>
      <c r="C34" s="157">
        <v>18229000</v>
      </c>
      <c r="D34" s="157">
        <v>19282000</v>
      </c>
      <c r="E34" s="157">
        <f>+D34-C34</f>
        <v>1053000</v>
      </c>
      <c r="F34" s="161">
        <f>IF(C34=0,0,E34/C34)</f>
        <v>5.7765099566624609E-2</v>
      </c>
    </row>
    <row r="35" spans="1:6" ht="15.75" customHeight="1" x14ac:dyDescent="0.25">
      <c r="A35" s="147"/>
      <c r="B35" s="162" t="s">
        <v>174</v>
      </c>
      <c r="C35" s="158">
        <f>SUM(C33:C34)</f>
        <v>49962000</v>
      </c>
      <c r="D35" s="158">
        <f>SUM(D33:D34)</f>
        <v>52774000</v>
      </c>
      <c r="E35" s="158">
        <f>+D35-C35</f>
        <v>2812000</v>
      </c>
      <c r="F35" s="159">
        <f>IF(C35=0,0,E35/C35)</f>
        <v>5.6282774908930785E-2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12581000</v>
      </c>
      <c r="D38" s="157">
        <v>12781000</v>
      </c>
      <c r="E38" s="157">
        <f>+D38-C38</f>
        <v>200000</v>
      </c>
      <c r="F38" s="161">
        <f>IF(C38=0,0,E38/C38)</f>
        <v>1.5896987520864797E-2</v>
      </c>
    </row>
    <row r="39" spans="1:6" ht="15" customHeight="1" x14ac:dyDescent="0.2">
      <c r="A39" s="147">
        <v>2</v>
      </c>
      <c r="B39" s="160" t="s">
        <v>178</v>
      </c>
      <c r="C39" s="157">
        <v>6493000</v>
      </c>
      <c r="D39" s="157">
        <v>5983000</v>
      </c>
      <c r="E39" s="157">
        <f>+D39-C39</f>
        <v>-510000</v>
      </c>
      <c r="F39" s="161">
        <f>IF(C39=0,0,E39/C39)</f>
        <v>-7.8546126597874633E-2</v>
      </c>
    </row>
    <row r="40" spans="1:6" ht="15" customHeight="1" x14ac:dyDescent="0.2">
      <c r="A40" s="147">
        <v>3</v>
      </c>
      <c r="B40" s="160" t="s">
        <v>179</v>
      </c>
      <c r="C40" s="157">
        <v>5593000</v>
      </c>
      <c r="D40" s="157">
        <v>5833000</v>
      </c>
      <c r="E40" s="157">
        <f>+D40-C40</f>
        <v>240000</v>
      </c>
      <c r="F40" s="161">
        <f>IF(C40=0,0,E40/C40)</f>
        <v>4.291078133381012E-2</v>
      </c>
    </row>
    <row r="41" spans="1:6" ht="15.75" customHeight="1" x14ac:dyDescent="0.25">
      <c r="A41" s="147"/>
      <c r="B41" s="162" t="s">
        <v>180</v>
      </c>
      <c r="C41" s="158">
        <f>SUM(C38:C40)</f>
        <v>24667000</v>
      </c>
      <c r="D41" s="158">
        <f>SUM(D38:D40)</f>
        <v>24597000</v>
      </c>
      <c r="E41" s="158">
        <f>+D41-C41</f>
        <v>-70000</v>
      </c>
      <c r="F41" s="159">
        <f>IF(C41=0,0,E41/C41)</f>
        <v>-2.8377994891960918E-3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1791000</v>
      </c>
      <c r="D47" s="157">
        <v>1800000</v>
      </c>
      <c r="E47" s="157">
        <f>+D47-C47</f>
        <v>9000</v>
      </c>
      <c r="F47" s="161">
        <f>IF(C47=0,0,E47/C47)</f>
        <v>5.0251256281407036E-3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7350000</v>
      </c>
      <c r="D50" s="157">
        <v>7446000</v>
      </c>
      <c r="E50" s="157">
        <f>+D50-C50</f>
        <v>96000</v>
      </c>
      <c r="F50" s="161">
        <f>IF(C50=0,0,E50/C50)</f>
        <v>1.3061224489795919E-2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586000</v>
      </c>
      <c r="D53" s="157">
        <v>777000</v>
      </c>
      <c r="E53" s="157">
        <f t="shared" ref="E53:E59" si="0">+D53-C53</f>
        <v>191000</v>
      </c>
      <c r="F53" s="161">
        <f t="shared" ref="F53:F59" si="1">IF(C53=0,0,E53/C53)</f>
        <v>0.32593856655290104</v>
      </c>
    </row>
    <row r="54" spans="1:6" ht="15" customHeight="1" x14ac:dyDescent="0.2">
      <c r="A54" s="147">
        <v>2</v>
      </c>
      <c r="B54" s="160" t="s">
        <v>189</v>
      </c>
      <c r="C54" s="157">
        <v>1658000</v>
      </c>
      <c r="D54" s="157">
        <v>1362000</v>
      </c>
      <c r="E54" s="157">
        <f t="shared" si="0"/>
        <v>-296000</v>
      </c>
      <c r="F54" s="161">
        <f t="shared" si="1"/>
        <v>-0.17852834740651388</v>
      </c>
    </row>
    <row r="55" spans="1:6" ht="15" customHeight="1" x14ac:dyDescent="0.2">
      <c r="A55" s="147">
        <v>3</v>
      </c>
      <c r="B55" s="160" t="s">
        <v>190</v>
      </c>
      <c r="C55" s="157">
        <v>22000</v>
      </c>
      <c r="D55" s="157">
        <v>22000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3526000</v>
      </c>
      <c r="D56" s="157">
        <v>3222000</v>
      </c>
      <c r="E56" s="157">
        <f t="shared" si="0"/>
        <v>-304000</v>
      </c>
      <c r="F56" s="161">
        <f t="shared" si="1"/>
        <v>-8.621667612024958E-2</v>
      </c>
    </row>
    <row r="57" spans="1:6" ht="15" customHeight="1" x14ac:dyDescent="0.2">
      <c r="A57" s="147">
        <v>5</v>
      </c>
      <c r="B57" s="160" t="s">
        <v>192</v>
      </c>
      <c r="C57" s="157">
        <v>139000</v>
      </c>
      <c r="D57" s="157">
        <v>168000</v>
      </c>
      <c r="E57" s="157">
        <f t="shared" si="0"/>
        <v>29000</v>
      </c>
      <c r="F57" s="161">
        <f t="shared" si="1"/>
        <v>0.20863309352517986</v>
      </c>
    </row>
    <row r="58" spans="1:6" ht="15" customHeight="1" x14ac:dyDescent="0.2">
      <c r="A58" s="147">
        <v>6</v>
      </c>
      <c r="B58" s="160" t="s">
        <v>193</v>
      </c>
      <c r="C58" s="157">
        <v>194000</v>
      </c>
      <c r="D58" s="157">
        <v>436000</v>
      </c>
      <c r="E58" s="157">
        <f t="shared" si="0"/>
        <v>242000</v>
      </c>
      <c r="F58" s="161">
        <f t="shared" si="1"/>
        <v>1.2474226804123711</v>
      </c>
    </row>
    <row r="59" spans="1:6" ht="15.75" customHeight="1" x14ac:dyDescent="0.25">
      <c r="A59" s="147"/>
      <c r="B59" s="162" t="s">
        <v>194</v>
      </c>
      <c r="C59" s="158">
        <f>SUM(C53:C58)</f>
        <v>6125000</v>
      </c>
      <c r="D59" s="158">
        <f>SUM(D53:D58)</f>
        <v>5987000</v>
      </c>
      <c r="E59" s="158">
        <f t="shared" si="0"/>
        <v>-138000</v>
      </c>
      <c r="F59" s="159">
        <f t="shared" si="1"/>
        <v>-2.2530612244897958E-2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471000</v>
      </c>
      <c r="D62" s="157">
        <v>425000</v>
      </c>
      <c r="E62" s="157">
        <f t="shared" ref="E62:E90" si="2">+D62-C62</f>
        <v>-46000</v>
      </c>
      <c r="F62" s="161">
        <f t="shared" ref="F62:F90" si="3">IF(C62=0,0,E62/C62)</f>
        <v>-9.7664543524416142E-2</v>
      </c>
    </row>
    <row r="63" spans="1:6" ht="15" customHeight="1" x14ac:dyDescent="0.2">
      <c r="A63" s="147">
        <v>2</v>
      </c>
      <c r="B63" s="160" t="s">
        <v>198</v>
      </c>
      <c r="C63" s="157">
        <v>959000</v>
      </c>
      <c r="D63" s="157">
        <v>1559000</v>
      </c>
      <c r="E63" s="157">
        <f t="shared" si="2"/>
        <v>600000</v>
      </c>
      <c r="F63" s="161">
        <f t="shared" si="3"/>
        <v>0.6256517205422315</v>
      </c>
    </row>
    <row r="64" spans="1:6" ht="15" customHeight="1" x14ac:dyDescent="0.2">
      <c r="A64" s="147">
        <v>3</v>
      </c>
      <c r="B64" s="160" t="s">
        <v>199</v>
      </c>
      <c r="C64" s="157">
        <v>2102000</v>
      </c>
      <c r="D64" s="157">
        <v>2899000</v>
      </c>
      <c r="E64" s="157">
        <f t="shared" si="2"/>
        <v>797000</v>
      </c>
      <c r="F64" s="161">
        <f t="shared" si="3"/>
        <v>0.37916270218839199</v>
      </c>
    </row>
    <row r="65" spans="1:6" ht="15" customHeight="1" x14ac:dyDescent="0.2">
      <c r="A65" s="147">
        <v>4</v>
      </c>
      <c r="B65" s="160" t="s">
        <v>200</v>
      </c>
      <c r="C65" s="157">
        <v>1190000</v>
      </c>
      <c r="D65" s="157">
        <v>1296000</v>
      </c>
      <c r="E65" s="157">
        <f t="shared" si="2"/>
        <v>106000</v>
      </c>
      <c r="F65" s="161">
        <f t="shared" si="3"/>
        <v>8.9075630252100843E-2</v>
      </c>
    </row>
    <row r="66" spans="1:6" ht="15" customHeight="1" x14ac:dyDescent="0.2">
      <c r="A66" s="147">
        <v>5</v>
      </c>
      <c r="B66" s="160" t="s">
        <v>201</v>
      </c>
      <c r="C66" s="157">
        <v>1614000</v>
      </c>
      <c r="D66" s="157">
        <v>1314000</v>
      </c>
      <c r="E66" s="157">
        <f t="shared" si="2"/>
        <v>-300000</v>
      </c>
      <c r="F66" s="161">
        <f t="shared" si="3"/>
        <v>-0.18587360594795538</v>
      </c>
    </row>
    <row r="67" spans="1:6" ht="15" customHeight="1" x14ac:dyDescent="0.2">
      <c r="A67" s="147">
        <v>6</v>
      </c>
      <c r="B67" s="160" t="s">
        <v>202</v>
      </c>
      <c r="C67" s="157">
        <v>3134000</v>
      </c>
      <c r="D67" s="157">
        <v>2730000</v>
      </c>
      <c r="E67" s="157">
        <f t="shared" si="2"/>
        <v>-404000</v>
      </c>
      <c r="F67" s="161">
        <f t="shared" si="3"/>
        <v>-0.12890874282067646</v>
      </c>
    </row>
    <row r="68" spans="1:6" ht="15" customHeight="1" x14ac:dyDescent="0.2">
      <c r="A68" s="147">
        <v>7</v>
      </c>
      <c r="B68" s="160" t="s">
        <v>203</v>
      </c>
      <c r="C68" s="157">
        <v>2368000</v>
      </c>
      <c r="D68" s="157">
        <v>2719000</v>
      </c>
      <c r="E68" s="157">
        <f t="shared" si="2"/>
        <v>351000</v>
      </c>
      <c r="F68" s="161">
        <f t="shared" si="3"/>
        <v>0.14822635135135134</v>
      </c>
    </row>
    <row r="69" spans="1:6" ht="15" customHeight="1" x14ac:dyDescent="0.2">
      <c r="A69" s="147">
        <v>8</v>
      </c>
      <c r="B69" s="160" t="s">
        <v>204</v>
      </c>
      <c r="C69" s="157">
        <v>472000</v>
      </c>
      <c r="D69" s="157">
        <v>539000</v>
      </c>
      <c r="E69" s="157">
        <f t="shared" si="2"/>
        <v>67000</v>
      </c>
      <c r="F69" s="161">
        <f t="shared" si="3"/>
        <v>0.14194915254237289</v>
      </c>
    </row>
    <row r="70" spans="1:6" ht="15" customHeight="1" x14ac:dyDescent="0.2">
      <c r="A70" s="147">
        <v>9</v>
      </c>
      <c r="B70" s="160" t="s">
        <v>205</v>
      </c>
      <c r="C70" s="157">
        <v>419000</v>
      </c>
      <c r="D70" s="157">
        <v>316000</v>
      </c>
      <c r="E70" s="157">
        <f t="shared" si="2"/>
        <v>-103000</v>
      </c>
      <c r="F70" s="161">
        <f t="shared" si="3"/>
        <v>-0.24582338902147971</v>
      </c>
    </row>
    <row r="71" spans="1:6" ht="15" customHeight="1" x14ac:dyDescent="0.2">
      <c r="A71" s="147">
        <v>10</v>
      </c>
      <c r="B71" s="160" t="s">
        <v>206</v>
      </c>
      <c r="C71" s="157">
        <v>741000</v>
      </c>
      <c r="D71" s="157">
        <v>504000</v>
      </c>
      <c r="E71" s="157">
        <f t="shared" si="2"/>
        <v>-237000</v>
      </c>
      <c r="F71" s="161">
        <f t="shared" si="3"/>
        <v>-0.31983805668016196</v>
      </c>
    </row>
    <row r="72" spans="1:6" ht="15" customHeight="1" x14ac:dyDescent="0.2">
      <c r="A72" s="147">
        <v>11</v>
      </c>
      <c r="B72" s="160" t="s">
        <v>207</v>
      </c>
      <c r="C72" s="157">
        <v>48000</v>
      </c>
      <c r="D72" s="157">
        <v>71000</v>
      </c>
      <c r="E72" s="157">
        <f t="shared" si="2"/>
        <v>23000</v>
      </c>
      <c r="F72" s="161">
        <f t="shared" si="3"/>
        <v>0.47916666666666669</v>
      </c>
    </row>
    <row r="73" spans="1:6" ht="15" customHeight="1" x14ac:dyDescent="0.2">
      <c r="A73" s="147">
        <v>12</v>
      </c>
      <c r="B73" s="160" t="s">
        <v>208</v>
      </c>
      <c r="C73" s="157">
        <v>6102000</v>
      </c>
      <c r="D73" s="157">
        <v>5916000</v>
      </c>
      <c r="E73" s="157">
        <f t="shared" si="2"/>
        <v>-186000</v>
      </c>
      <c r="F73" s="161">
        <f t="shared" si="3"/>
        <v>-3.0481809242871191E-2</v>
      </c>
    </row>
    <row r="74" spans="1:6" ht="15" customHeight="1" x14ac:dyDescent="0.2">
      <c r="A74" s="147">
        <v>13</v>
      </c>
      <c r="B74" s="160" t="s">
        <v>209</v>
      </c>
      <c r="C74" s="157">
        <v>363000</v>
      </c>
      <c r="D74" s="157">
        <v>391000</v>
      </c>
      <c r="E74" s="157">
        <f t="shared" si="2"/>
        <v>28000</v>
      </c>
      <c r="F74" s="161">
        <f t="shared" si="3"/>
        <v>7.7134986225895319E-2</v>
      </c>
    </row>
    <row r="75" spans="1:6" ht="15" customHeight="1" x14ac:dyDescent="0.2">
      <c r="A75" s="147">
        <v>14</v>
      </c>
      <c r="B75" s="160" t="s">
        <v>210</v>
      </c>
      <c r="C75" s="157">
        <v>242000</v>
      </c>
      <c r="D75" s="157">
        <v>279000</v>
      </c>
      <c r="E75" s="157">
        <f t="shared" si="2"/>
        <v>37000</v>
      </c>
      <c r="F75" s="161">
        <f t="shared" si="3"/>
        <v>0.15289256198347106</v>
      </c>
    </row>
    <row r="76" spans="1:6" ht="15" customHeight="1" x14ac:dyDescent="0.2">
      <c r="A76" s="147">
        <v>15</v>
      </c>
      <c r="B76" s="160" t="s">
        <v>211</v>
      </c>
      <c r="C76" s="157">
        <v>2945000</v>
      </c>
      <c r="D76" s="157">
        <v>3385000</v>
      </c>
      <c r="E76" s="157">
        <f t="shared" si="2"/>
        <v>440000</v>
      </c>
      <c r="F76" s="161">
        <f t="shared" si="3"/>
        <v>0.14940577249575551</v>
      </c>
    </row>
    <row r="77" spans="1:6" ht="15" customHeight="1" x14ac:dyDescent="0.2">
      <c r="A77" s="147">
        <v>16</v>
      </c>
      <c r="B77" s="160" t="s">
        <v>212</v>
      </c>
      <c r="C77" s="157">
        <v>290000</v>
      </c>
      <c r="D77" s="157">
        <v>469000</v>
      </c>
      <c r="E77" s="157">
        <f t="shared" si="2"/>
        <v>179000</v>
      </c>
      <c r="F77" s="161">
        <f t="shared" si="3"/>
        <v>0.61724137931034484</v>
      </c>
    </row>
    <row r="78" spans="1:6" ht="15" customHeight="1" x14ac:dyDescent="0.2">
      <c r="A78" s="147">
        <v>17</v>
      </c>
      <c r="B78" s="160" t="s">
        <v>213</v>
      </c>
      <c r="C78" s="157">
        <v>298000</v>
      </c>
      <c r="D78" s="157">
        <v>319000</v>
      </c>
      <c r="E78" s="157">
        <f t="shared" si="2"/>
        <v>21000</v>
      </c>
      <c r="F78" s="161">
        <f t="shared" si="3"/>
        <v>7.0469798657718116E-2</v>
      </c>
    </row>
    <row r="79" spans="1:6" ht="15" customHeight="1" x14ac:dyDescent="0.2">
      <c r="A79" s="147">
        <v>18</v>
      </c>
      <c r="B79" s="160" t="s">
        <v>214</v>
      </c>
      <c r="C79" s="157">
        <v>766000</v>
      </c>
      <c r="D79" s="157">
        <v>621000</v>
      </c>
      <c r="E79" s="157">
        <f t="shared" si="2"/>
        <v>-145000</v>
      </c>
      <c r="F79" s="161">
        <f t="shared" si="3"/>
        <v>-0.18929503916449086</v>
      </c>
    </row>
    <row r="80" spans="1:6" ht="15" customHeight="1" x14ac:dyDescent="0.2">
      <c r="A80" s="147">
        <v>19</v>
      </c>
      <c r="B80" s="160" t="s">
        <v>215</v>
      </c>
      <c r="C80" s="157">
        <v>4153000</v>
      </c>
      <c r="D80" s="157">
        <v>4062000</v>
      </c>
      <c r="E80" s="157">
        <f t="shared" si="2"/>
        <v>-91000</v>
      </c>
      <c r="F80" s="161">
        <f t="shared" si="3"/>
        <v>-2.1911870936672285E-2</v>
      </c>
    </row>
    <row r="81" spans="1:6" ht="15" customHeight="1" x14ac:dyDescent="0.2">
      <c r="A81" s="147">
        <v>20</v>
      </c>
      <c r="B81" s="160" t="s">
        <v>216</v>
      </c>
      <c r="C81" s="157">
        <v>3982000</v>
      </c>
      <c r="D81" s="157">
        <v>3817000</v>
      </c>
      <c r="E81" s="157">
        <f t="shared" si="2"/>
        <v>-165000</v>
      </c>
      <c r="F81" s="161">
        <f t="shared" si="3"/>
        <v>-4.1436464088397788E-2</v>
      </c>
    </row>
    <row r="82" spans="1:6" ht="15" customHeight="1" x14ac:dyDescent="0.2">
      <c r="A82" s="147">
        <v>21</v>
      </c>
      <c r="B82" s="160" t="s">
        <v>217</v>
      </c>
      <c r="C82" s="157">
        <v>3119000</v>
      </c>
      <c r="D82" s="157">
        <v>2619000</v>
      </c>
      <c r="E82" s="157">
        <f t="shared" si="2"/>
        <v>-500000</v>
      </c>
      <c r="F82" s="161">
        <f t="shared" si="3"/>
        <v>-0.16030779095864059</v>
      </c>
    </row>
    <row r="83" spans="1:6" ht="15" customHeight="1" x14ac:dyDescent="0.2">
      <c r="A83" s="147">
        <v>22</v>
      </c>
      <c r="B83" s="160" t="s">
        <v>218</v>
      </c>
      <c r="C83" s="157">
        <v>615000</v>
      </c>
      <c r="D83" s="157">
        <v>475000</v>
      </c>
      <c r="E83" s="157">
        <f t="shared" si="2"/>
        <v>-140000</v>
      </c>
      <c r="F83" s="161">
        <f t="shared" si="3"/>
        <v>-0.22764227642276422</v>
      </c>
    </row>
    <row r="84" spans="1:6" ht="15" customHeight="1" x14ac:dyDescent="0.2">
      <c r="A84" s="147">
        <v>23</v>
      </c>
      <c r="B84" s="160" t="s">
        <v>219</v>
      </c>
      <c r="C84" s="157">
        <v>1231000</v>
      </c>
      <c r="D84" s="157">
        <v>1145000</v>
      </c>
      <c r="E84" s="157">
        <f t="shared" si="2"/>
        <v>-86000</v>
      </c>
      <c r="F84" s="161">
        <f t="shared" si="3"/>
        <v>-6.9861900893582449E-2</v>
      </c>
    </row>
    <row r="85" spans="1:6" ht="15" customHeight="1" x14ac:dyDescent="0.2">
      <c r="A85" s="147">
        <v>24</v>
      </c>
      <c r="B85" s="160" t="s">
        <v>220</v>
      </c>
      <c r="C85" s="157">
        <v>251000</v>
      </c>
      <c r="D85" s="157">
        <v>903000</v>
      </c>
      <c r="E85" s="157">
        <f t="shared" si="2"/>
        <v>652000</v>
      </c>
      <c r="F85" s="161">
        <f t="shared" si="3"/>
        <v>2.597609561752988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10049000</v>
      </c>
      <c r="D87" s="157">
        <v>8539000</v>
      </c>
      <c r="E87" s="157">
        <f t="shared" si="2"/>
        <v>-1510000</v>
      </c>
      <c r="F87" s="161">
        <f t="shared" si="3"/>
        <v>-0.15026370783162504</v>
      </c>
    </row>
    <row r="88" spans="1:6" ht="15" customHeight="1" x14ac:dyDescent="0.2">
      <c r="A88" s="147">
        <v>27</v>
      </c>
      <c r="B88" s="160" t="s">
        <v>223</v>
      </c>
      <c r="C88" s="157">
        <v>37874000</v>
      </c>
      <c r="D88" s="157">
        <v>45570000</v>
      </c>
      <c r="E88" s="157">
        <f t="shared" si="2"/>
        <v>7696000</v>
      </c>
      <c r="F88" s="161">
        <f t="shared" si="3"/>
        <v>0.20320008449067961</v>
      </c>
    </row>
    <row r="89" spans="1:6" ht="15" customHeight="1" x14ac:dyDescent="0.2">
      <c r="A89" s="147">
        <v>28</v>
      </c>
      <c r="B89" s="160" t="s">
        <v>224</v>
      </c>
      <c r="C89" s="157">
        <v>17894000</v>
      </c>
      <c r="D89" s="157">
        <v>25169000</v>
      </c>
      <c r="E89" s="157">
        <f t="shared" si="2"/>
        <v>7275000</v>
      </c>
      <c r="F89" s="161">
        <f t="shared" si="3"/>
        <v>0.40656085838828659</v>
      </c>
    </row>
    <row r="90" spans="1:6" ht="15.75" customHeight="1" x14ac:dyDescent="0.25">
      <c r="A90" s="147"/>
      <c r="B90" s="162" t="s">
        <v>225</v>
      </c>
      <c r="C90" s="158">
        <f>SUM(C62:C89)</f>
        <v>103692000</v>
      </c>
      <c r="D90" s="158">
        <f>SUM(D62:D89)</f>
        <v>118051000</v>
      </c>
      <c r="E90" s="158">
        <f t="shared" si="2"/>
        <v>14359000</v>
      </c>
      <c r="F90" s="159">
        <f t="shared" si="3"/>
        <v>0.13847741387956641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424794000</v>
      </c>
      <c r="D95" s="158">
        <f>+D93+D90+D59+D50+D47+D44+D41+D35+D30+D24+D18</f>
        <v>435859000</v>
      </c>
      <c r="E95" s="158">
        <f>+D95-C95</f>
        <v>11065000</v>
      </c>
      <c r="F95" s="159">
        <f>IF(C95=0,0,E95/C95)</f>
        <v>2.6047919697547516E-2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77867000</v>
      </c>
      <c r="D103" s="157">
        <v>86326000</v>
      </c>
      <c r="E103" s="157">
        <f t="shared" ref="E103:E121" si="4">D103-C103</f>
        <v>8459000</v>
      </c>
      <c r="F103" s="161">
        <f t="shared" ref="F103:F121" si="5">IF(C103=0,0,E103/C103)</f>
        <v>0.10863395276561316</v>
      </c>
    </row>
    <row r="104" spans="1:6" ht="15" customHeight="1" x14ac:dyDescent="0.2">
      <c r="A104" s="147">
        <v>2</v>
      </c>
      <c r="B104" s="169" t="s">
        <v>234</v>
      </c>
      <c r="C104" s="157">
        <v>3162000</v>
      </c>
      <c r="D104" s="157">
        <v>3239000</v>
      </c>
      <c r="E104" s="157">
        <f t="shared" si="4"/>
        <v>77000</v>
      </c>
      <c r="F104" s="161">
        <f t="shared" si="5"/>
        <v>2.4351676154332702E-2</v>
      </c>
    </row>
    <row r="105" spans="1:6" ht="15" customHeight="1" x14ac:dyDescent="0.2">
      <c r="A105" s="147">
        <v>3</v>
      </c>
      <c r="B105" s="169" t="s">
        <v>235</v>
      </c>
      <c r="C105" s="157">
        <v>5217000</v>
      </c>
      <c r="D105" s="157">
        <v>7569000</v>
      </c>
      <c r="E105" s="157">
        <f t="shared" si="4"/>
        <v>2352000</v>
      </c>
      <c r="F105" s="161">
        <f t="shared" si="5"/>
        <v>0.45083381253594018</v>
      </c>
    </row>
    <row r="106" spans="1:6" ht="15" customHeight="1" x14ac:dyDescent="0.2">
      <c r="A106" s="147">
        <v>4</v>
      </c>
      <c r="B106" s="169" t="s">
        <v>236</v>
      </c>
      <c r="C106" s="157">
        <v>2869000</v>
      </c>
      <c r="D106" s="157">
        <v>2917000</v>
      </c>
      <c r="E106" s="157">
        <f t="shared" si="4"/>
        <v>48000</v>
      </c>
      <c r="F106" s="161">
        <f t="shared" si="5"/>
        <v>1.6730568142209828E-2</v>
      </c>
    </row>
    <row r="107" spans="1:6" ht="15" customHeight="1" x14ac:dyDescent="0.2">
      <c r="A107" s="147">
        <v>5</v>
      </c>
      <c r="B107" s="169" t="s">
        <v>237</v>
      </c>
      <c r="C107" s="157">
        <v>25166000</v>
      </c>
      <c r="D107" s="157">
        <v>27786000</v>
      </c>
      <c r="E107" s="157">
        <f t="shared" si="4"/>
        <v>2620000</v>
      </c>
      <c r="F107" s="161">
        <f t="shared" si="5"/>
        <v>0.10410871811173807</v>
      </c>
    </row>
    <row r="108" spans="1:6" ht="15" customHeight="1" x14ac:dyDescent="0.2">
      <c r="A108" s="147">
        <v>6</v>
      </c>
      <c r="B108" s="169" t="s">
        <v>238</v>
      </c>
      <c r="C108" s="157">
        <v>523000</v>
      </c>
      <c r="D108" s="157">
        <v>522000</v>
      </c>
      <c r="E108" s="157">
        <f t="shared" si="4"/>
        <v>-1000</v>
      </c>
      <c r="F108" s="161">
        <f t="shared" si="5"/>
        <v>-1.9120458891013384E-3</v>
      </c>
    </row>
    <row r="109" spans="1:6" ht="15" customHeight="1" x14ac:dyDescent="0.2">
      <c r="A109" s="147">
        <v>7</v>
      </c>
      <c r="B109" s="169" t="s">
        <v>239</v>
      </c>
      <c r="C109" s="157">
        <v>42538000</v>
      </c>
      <c r="D109" s="157">
        <v>34293000</v>
      </c>
      <c r="E109" s="157">
        <f t="shared" si="4"/>
        <v>-8245000</v>
      </c>
      <c r="F109" s="161">
        <f t="shared" si="5"/>
        <v>-0.19382669613051859</v>
      </c>
    </row>
    <row r="110" spans="1:6" ht="15" customHeight="1" x14ac:dyDescent="0.2">
      <c r="A110" s="147">
        <v>8</v>
      </c>
      <c r="B110" s="169" t="s">
        <v>240</v>
      </c>
      <c r="C110" s="157">
        <v>3835000</v>
      </c>
      <c r="D110" s="157">
        <v>4060000</v>
      </c>
      <c r="E110" s="157">
        <f t="shared" si="4"/>
        <v>225000</v>
      </c>
      <c r="F110" s="161">
        <f t="shared" si="5"/>
        <v>5.867014341590613E-2</v>
      </c>
    </row>
    <row r="111" spans="1:6" ht="15" customHeight="1" x14ac:dyDescent="0.2">
      <c r="A111" s="147">
        <v>9</v>
      </c>
      <c r="B111" s="169" t="s">
        <v>241</v>
      </c>
      <c r="C111" s="157">
        <v>1764000</v>
      </c>
      <c r="D111" s="157">
        <v>1159000</v>
      </c>
      <c r="E111" s="157">
        <f t="shared" si="4"/>
        <v>-605000</v>
      </c>
      <c r="F111" s="161">
        <f t="shared" si="5"/>
        <v>-0.34297052154195012</v>
      </c>
    </row>
    <row r="112" spans="1:6" ht="15" customHeight="1" x14ac:dyDescent="0.2">
      <c r="A112" s="147">
        <v>10</v>
      </c>
      <c r="B112" s="169" t="s">
        <v>242</v>
      </c>
      <c r="C112" s="157">
        <v>6406000</v>
      </c>
      <c r="D112" s="157">
        <v>6551000</v>
      </c>
      <c r="E112" s="157">
        <f t="shared" si="4"/>
        <v>145000</v>
      </c>
      <c r="F112" s="161">
        <f t="shared" si="5"/>
        <v>2.2635029659694036E-2</v>
      </c>
    </row>
    <row r="113" spans="1:6" ht="15" customHeight="1" x14ac:dyDescent="0.2">
      <c r="A113" s="147">
        <v>11</v>
      </c>
      <c r="B113" s="169" t="s">
        <v>243</v>
      </c>
      <c r="C113" s="157">
        <v>4437000</v>
      </c>
      <c r="D113" s="157">
        <v>4033000</v>
      </c>
      <c r="E113" s="157">
        <f t="shared" si="4"/>
        <v>-404000</v>
      </c>
      <c r="F113" s="161">
        <f t="shared" si="5"/>
        <v>-9.1052512959206675E-2</v>
      </c>
    </row>
    <row r="114" spans="1:6" ht="15" customHeight="1" x14ac:dyDescent="0.2">
      <c r="A114" s="147">
        <v>12</v>
      </c>
      <c r="B114" s="169" t="s">
        <v>244</v>
      </c>
      <c r="C114" s="157">
        <v>690000</v>
      </c>
      <c r="D114" s="157">
        <v>626000</v>
      </c>
      <c r="E114" s="157">
        <f t="shared" si="4"/>
        <v>-64000</v>
      </c>
      <c r="F114" s="161">
        <f t="shared" si="5"/>
        <v>-9.2753623188405798E-2</v>
      </c>
    </row>
    <row r="115" spans="1:6" ht="15" customHeight="1" x14ac:dyDescent="0.2">
      <c r="A115" s="147">
        <v>13</v>
      </c>
      <c r="B115" s="169" t="s">
        <v>245</v>
      </c>
      <c r="C115" s="157">
        <v>8657000</v>
      </c>
      <c r="D115" s="157">
        <v>12812000</v>
      </c>
      <c r="E115" s="157">
        <f t="shared" si="4"/>
        <v>4155000</v>
      </c>
      <c r="F115" s="161">
        <f t="shared" si="5"/>
        <v>0.47995841515536558</v>
      </c>
    </row>
    <row r="116" spans="1:6" ht="15" customHeight="1" x14ac:dyDescent="0.2">
      <c r="A116" s="147">
        <v>14</v>
      </c>
      <c r="B116" s="169" t="s">
        <v>246</v>
      </c>
      <c r="C116" s="157">
        <v>2300000</v>
      </c>
      <c r="D116" s="157">
        <v>2169000</v>
      </c>
      <c r="E116" s="157">
        <f t="shared" si="4"/>
        <v>-131000</v>
      </c>
      <c r="F116" s="161">
        <f t="shared" si="5"/>
        <v>-5.6956521739130433E-2</v>
      </c>
    </row>
    <row r="117" spans="1:6" ht="15" customHeight="1" x14ac:dyDescent="0.2">
      <c r="A117" s="147">
        <v>15</v>
      </c>
      <c r="B117" s="169" t="s">
        <v>203</v>
      </c>
      <c r="C117" s="157">
        <v>9410000</v>
      </c>
      <c r="D117" s="157">
        <v>7018000</v>
      </c>
      <c r="E117" s="157">
        <f t="shared" si="4"/>
        <v>-2392000</v>
      </c>
      <c r="F117" s="161">
        <f t="shared" si="5"/>
        <v>-0.25419766206163658</v>
      </c>
    </row>
    <row r="118" spans="1:6" ht="15" customHeight="1" x14ac:dyDescent="0.2">
      <c r="A118" s="147">
        <v>16</v>
      </c>
      <c r="B118" s="169" t="s">
        <v>247</v>
      </c>
      <c r="C118" s="157">
        <v>936000</v>
      </c>
      <c r="D118" s="157">
        <v>910000</v>
      </c>
      <c r="E118" s="157">
        <f t="shared" si="4"/>
        <v>-26000</v>
      </c>
      <c r="F118" s="161">
        <f t="shared" si="5"/>
        <v>-2.7777777777777776E-2</v>
      </c>
    </row>
    <row r="119" spans="1:6" ht="15" customHeight="1" x14ac:dyDescent="0.2">
      <c r="A119" s="147">
        <v>17</v>
      </c>
      <c r="B119" s="169" t="s">
        <v>248</v>
      </c>
      <c r="C119" s="157">
        <v>26457000</v>
      </c>
      <c r="D119" s="157">
        <v>27390000</v>
      </c>
      <c r="E119" s="157">
        <f t="shared" si="4"/>
        <v>933000</v>
      </c>
      <c r="F119" s="161">
        <f t="shared" si="5"/>
        <v>3.5264769248214083E-2</v>
      </c>
    </row>
    <row r="120" spans="1:6" ht="15" customHeight="1" x14ac:dyDescent="0.2">
      <c r="A120" s="147">
        <v>18</v>
      </c>
      <c r="B120" s="169" t="s">
        <v>249</v>
      </c>
      <c r="C120" s="157">
        <v>0</v>
      </c>
      <c r="D120" s="157">
        <v>0</v>
      </c>
      <c r="E120" s="157">
        <f t="shared" si="4"/>
        <v>0</v>
      </c>
      <c r="F120" s="161">
        <f t="shared" si="5"/>
        <v>0</v>
      </c>
    </row>
    <row r="121" spans="1:6" ht="15.75" customHeight="1" x14ac:dyDescent="0.25">
      <c r="A121" s="147"/>
      <c r="B121" s="165" t="s">
        <v>250</v>
      </c>
      <c r="C121" s="158">
        <f>SUM(C103:C120)</f>
        <v>222234000</v>
      </c>
      <c r="D121" s="158">
        <f>SUM(D103:D120)</f>
        <v>229380000</v>
      </c>
      <c r="E121" s="158">
        <f t="shared" si="4"/>
        <v>7146000</v>
      </c>
      <c r="F121" s="159">
        <f t="shared" si="5"/>
        <v>3.2155295769324223E-2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307000</v>
      </c>
      <c r="D124" s="157">
        <v>936000</v>
      </c>
      <c r="E124" s="157">
        <f t="shared" ref="E124:E130" si="6">D124-C124</f>
        <v>629000</v>
      </c>
      <c r="F124" s="161">
        <f t="shared" ref="F124:F130" si="7">IF(C124=0,0,E124/C124)</f>
        <v>2.0488599348534202</v>
      </c>
    </row>
    <row r="125" spans="1:6" ht="15" customHeight="1" x14ac:dyDescent="0.2">
      <c r="A125" s="147">
        <v>2</v>
      </c>
      <c r="B125" s="169" t="s">
        <v>253</v>
      </c>
      <c r="C125" s="157">
        <v>4438000</v>
      </c>
      <c r="D125" s="157">
        <v>4826000</v>
      </c>
      <c r="E125" s="157">
        <f t="shared" si="6"/>
        <v>388000</v>
      </c>
      <c r="F125" s="161">
        <f t="shared" si="7"/>
        <v>8.7426768814781439E-2</v>
      </c>
    </row>
    <row r="126" spans="1:6" ht="15" customHeight="1" x14ac:dyDescent="0.2">
      <c r="A126" s="147">
        <v>3</v>
      </c>
      <c r="B126" s="169" t="s">
        <v>254</v>
      </c>
      <c r="C126" s="157">
        <v>3069000</v>
      </c>
      <c r="D126" s="157">
        <v>3243000</v>
      </c>
      <c r="E126" s="157">
        <f t="shared" si="6"/>
        <v>174000</v>
      </c>
      <c r="F126" s="161">
        <f t="shared" si="7"/>
        <v>5.6695992179863146E-2</v>
      </c>
    </row>
    <row r="127" spans="1:6" ht="15" customHeight="1" x14ac:dyDescent="0.2">
      <c r="A127" s="147">
        <v>4</v>
      </c>
      <c r="B127" s="169" t="s">
        <v>255</v>
      </c>
      <c r="C127" s="157">
        <v>3952000</v>
      </c>
      <c r="D127" s="157">
        <v>3245000</v>
      </c>
      <c r="E127" s="157">
        <f t="shared" si="6"/>
        <v>-707000</v>
      </c>
      <c r="F127" s="161">
        <f t="shared" si="7"/>
        <v>-0.17889676113360323</v>
      </c>
    </row>
    <row r="128" spans="1:6" ht="15" customHeight="1" x14ac:dyDescent="0.2">
      <c r="A128" s="147">
        <v>5</v>
      </c>
      <c r="B128" s="169" t="s">
        <v>256</v>
      </c>
      <c r="C128" s="157">
        <v>968000</v>
      </c>
      <c r="D128" s="157">
        <v>1123000</v>
      </c>
      <c r="E128" s="157">
        <f t="shared" si="6"/>
        <v>155000</v>
      </c>
      <c r="F128" s="161">
        <f t="shared" si="7"/>
        <v>0.16012396694214875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12734000</v>
      </c>
      <c r="D130" s="158">
        <f>SUM(D124:D129)</f>
        <v>13373000</v>
      </c>
      <c r="E130" s="158">
        <f t="shared" si="6"/>
        <v>639000</v>
      </c>
      <c r="F130" s="159">
        <f t="shared" si="7"/>
        <v>5.018061881576881E-2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25542000</v>
      </c>
      <c r="D133" s="157">
        <v>27458000</v>
      </c>
      <c r="E133" s="157">
        <f t="shared" ref="E133:E167" si="8">D133-C133</f>
        <v>1916000</v>
      </c>
      <c r="F133" s="161">
        <f t="shared" ref="F133:F167" si="9">IF(C133=0,0,E133/C133)</f>
        <v>7.5013702920679659E-2</v>
      </c>
    </row>
    <row r="134" spans="1:6" ht="15" customHeight="1" x14ac:dyDescent="0.2">
      <c r="A134" s="147">
        <v>2</v>
      </c>
      <c r="B134" s="169" t="s">
        <v>261</v>
      </c>
      <c r="C134" s="157">
        <v>1639000</v>
      </c>
      <c r="D134" s="157">
        <v>1615000</v>
      </c>
      <c r="E134" s="157">
        <f t="shared" si="8"/>
        <v>-24000</v>
      </c>
      <c r="F134" s="161">
        <f t="shared" si="9"/>
        <v>-1.464307504575961E-2</v>
      </c>
    </row>
    <row r="135" spans="1:6" ht="15" customHeight="1" x14ac:dyDescent="0.2">
      <c r="A135" s="147">
        <v>3</v>
      </c>
      <c r="B135" s="169" t="s">
        <v>262</v>
      </c>
      <c r="C135" s="157">
        <v>1067000</v>
      </c>
      <c r="D135" s="157">
        <v>1022000</v>
      </c>
      <c r="E135" s="157">
        <f t="shared" si="8"/>
        <v>-45000</v>
      </c>
      <c r="F135" s="161">
        <f t="shared" si="9"/>
        <v>-4.2174320524835988E-2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3609000</v>
      </c>
      <c r="D137" s="157">
        <v>3972000</v>
      </c>
      <c r="E137" s="157">
        <f t="shared" si="8"/>
        <v>363000</v>
      </c>
      <c r="F137" s="161">
        <f t="shared" si="9"/>
        <v>0.10058187863674148</v>
      </c>
    </row>
    <row r="138" spans="1:6" ht="15" customHeight="1" x14ac:dyDescent="0.2">
      <c r="A138" s="147">
        <v>6</v>
      </c>
      <c r="B138" s="169" t="s">
        <v>265</v>
      </c>
      <c r="C138" s="157">
        <v>741456</v>
      </c>
      <c r="D138" s="157">
        <v>752000</v>
      </c>
      <c r="E138" s="157">
        <f t="shared" si="8"/>
        <v>10544</v>
      </c>
      <c r="F138" s="161">
        <f t="shared" si="9"/>
        <v>1.4220668522474698E-2</v>
      </c>
    </row>
    <row r="139" spans="1:6" ht="15" customHeight="1" x14ac:dyDescent="0.2">
      <c r="A139" s="147">
        <v>7</v>
      </c>
      <c r="B139" s="169" t="s">
        <v>266</v>
      </c>
      <c r="C139" s="157">
        <v>1418544</v>
      </c>
      <c r="D139" s="157">
        <v>1223000</v>
      </c>
      <c r="E139" s="157">
        <f t="shared" si="8"/>
        <v>-195544</v>
      </c>
      <c r="F139" s="161">
        <f t="shared" si="9"/>
        <v>-0.13784838538670638</v>
      </c>
    </row>
    <row r="140" spans="1:6" ht="15" customHeight="1" x14ac:dyDescent="0.2">
      <c r="A140" s="147">
        <v>8</v>
      </c>
      <c r="B140" s="169" t="s">
        <v>267</v>
      </c>
      <c r="C140" s="157">
        <v>537000</v>
      </c>
      <c r="D140" s="157">
        <v>576000</v>
      </c>
      <c r="E140" s="157">
        <f t="shared" si="8"/>
        <v>39000</v>
      </c>
      <c r="F140" s="161">
        <f t="shared" si="9"/>
        <v>7.2625698324022353E-2</v>
      </c>
    </row>
    <row r="141" spans="1:6" ht="15" customHeight="1" x14ac:dyDescent="0.2">
      <c r="A141" s="147">
        <v>9</v>
      </c>
      <c r="B141" s="169" t="s">
        <v>268</v>
      </c>
      <c r="C141" s="157">
        <v>1509000</v>
      </c>
      <c r="D141" s="157">
        <v>1631000</v>
      </c>
      <c r="E141" s="157">
        <f t="shared" si="8"/>
        <v>122000</v>
      </c>
      <c r="F141" s="161">
        <f t="shared" si="9"/>
        <v>8.0848243870112663E-2</v>
      </c>
    </row>
    <row r="142" spans="1:6" ht="15" customHeight="1" x14ac:dyDescent="0.2">
      <c r="A142" s="147">
        <v>10</v>
      </c>
      <c r="B142" s="169" t="s">
        <v>269</v>
      </c>
      <c r="C142" s="157">
        <v>7384000</v>
      </c>
      <c r="D142" s="157">
        <v>7969000</v>
      </c>
      <c r="E142" s="157">
        <f t="shared" si="8"/>
        <v>585000</v>
      </c>
      <c r="F142" s="161">
        <f t="shared" si="9"/>
        <v>7.9225352112676062E-2</v>
      </c>
    </row>
    <row r="143" spans="1:6" ht="15" customHeight="1" x14ac:dyDescent="0.2">
      <c r="A143" s="147">
        <v>11</v>
      </c>
      <c r="B143" s="169" t="s">
        <v>270</v>
      </c>
      <c r="C143" s="157">
        <v>2126000</v>
      </c>
      <c r="D143" s="157">
        <v>1756000</v>
      </c>
      <c r="E143" s="157">
        <f t="shared" si="8"/>
        <v>-370000</v>
      </c>
      <c r="F143" s="161">
        <f t="shared" si="9"/>
        <v>-0.17403574788334902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7211000</v>
      </c>
      <c r="D145" s="157">
        <v>7226000</v>
      </c>
      <c r="E145" s="157">
        <f t="shared" si="8"/>
        <v>15000</v>
      </c>
      <c r="F145" s="161">
        <f t="shared" si="9"/>
        <v>2.0801553182637636E-3</v>
      </c>
    </row>
    <row r="146" spans="1:6" ht="15" customHeight="1" x14ac:dyDescent="0.2">
      <c r="A146" s="147">
        <v>14</v>
      </c>
      <c r="B146" s="169" t="s">
        <v>273</v>
      </c>
      <c r="C146" s="157">
        <v>0</v>
      </c>
      <c r="D146" s="157">
        <v>0</v>
      </c>
      <c r="E146" s="157">
        <f t="shared" si="8"/>
        <v>0</v>
      </c>
      <c r="F146" s="161">
        <f t="shared" si="9"/>
        <v>0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2733000</v>
      </c>
      <c r="D150" s="157">
        <v>2770000</v>
      </c>
      <c r="E150" s="157">
        <f t="shared" si="8"/>
        <v>37000</v>
      </c>
      <c r="F150" s="161">
        <f t="shared" si="9"/>
        <v>1.353823637028906E-2</v>
      </c>
    </row>
    <row r="151" spans="1:6" ht="15" customHeight="1" x14ac:dyDescent="0.2">
      <c r="A151" s="147">
        <v>19</v>
      </c>
      <c r="B151" s="169" t="s">
        <v>278</v>
      </c>
      <c r="C151" s="157">
        <v>372000</v>
      </c>
      <c r="D151" s="157">
        <v>301000</v>
      </c>
      <c r="E151" s="157">
        <f t="shared" si="8"/>
        <v>-71000</v>
      </c>
      <c r="F151" s="161">
        <f t="shared" si="9"/>
        <v>-0.19086021505376344</v>
      </c>
    </row>
    <row r="152" spans="1:6" ht="15" customHeight="1" x14ac:dyDescent="0.2">
      <c r="A152" s="147">
        <v>20</v>
      </c>
      <c r="B152" s="169" t="s">
        <v>279</v>
      </c>
      <c r="C152" s="157">
        <v>85000</v>
      </c>
      <c r="D152" s="157">
        <v>37000</v>
      </c>
      <c r="E152" s="157">
        <f t="shared" si="8"/>
        <v>-48000</v>
      </c>
      <c r="F152" s="161">
        <f t="shared" si="9"/>
        <v>-0.56470588235294117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1252000</v>
      </c>
      <c r="D155" s="157">
        <v>1131000</v>
      </c>
      <c r="E155" s="157">
        <f t="shared" si="8"/>
        <v>-121000</v>
      </c>
      <c r="F155" s="161">
        <f t="shared" si="9"/>
        <v>-9.6645367412140581E-2</v>
      </c>
    </row>
    <row r="156" spans="1:6" ht="15" customHeight="1" x14ac:dyDescent="0.2">
      <c r="A156" s="147">
        <v>24</v>
      </c>
      <c r="B156" s="169" t="s">
        <v>283</v>
      </c>
      <c r="C156" s="157">
        <v>19615000</v>
      </c>
      <c r="D156" s="157">
        <v>20971000</v>
      </c>
      <c r="E156" s="157">
        <f t="shared" si="8"/>
        <v>1356000</v>
      </c>
      <c r="F156" s="161">
        <f t="shared" si="9"/>
        <v>6.9130767269946464E-2</v>
      </c>
    </row>
    <row r="157" spans="1:6" ht="15" customHeight="1" x14ac:dyDescent="0.2">
      <c r="A157" s="147">
        <v>25</v>
      </c>
      <c r="B157" s="169" t="s">
        <v>284</v>
      </c>
      <c r="C157" s="157">
        <v>550000</v>
      </c>
      <c r="D157" s="157">
        <v>579000</v>
      </c>
      <c r="E157" s="157">
        <f t="shared" si="8"/>
        <v>29000</v>
      </c>
      <c r="F157" s="161">
        <f t="shared" si="9"/>
        <v>5.2727272727272727E-2</v>
      </c>
    </row>
    <row r="158" spans="1:6" ht="15" customHeight="1" x14ac:dyDescent="0.2">
      <c r="A158" s="147">
        <v>26</v>
      </c>
      <c r="B158" s="169" t="s">
        <v>285</v>
      </c>
      <c r="C158" s="157">
        <v>154000</v>
      </c>
      <c r="D158" s="157">
        <v>102000</v>
      </c>
      <c r="E158" s="157">
        <f t="shared" si="8"/>
        <v>-52000</v>
      </c>
      <c r="F158" s="161">
        <f t="shared" si="9"/>
        <v>-0.33766233766233766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1213000</v>
      </c>
      <c r="D160" s="157">
        <v>1202000</v>
      </c>
      <c r="E160" s="157">
        <f t="shared" si="8"/>
        <v>-11000</v>
      </c>
      <c r="F160" s="161">
        <f t="shared" si="9"/>
        <v>-9.0684253915910961E-3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12553000</v>
      </c>
      <c r="D163" s="157">
        <v>13047000</v>
      </c>
      <c r="E163" s="157">
        <f t="shared" si="8"/>
        <v>494000</v>
      </c>
      <c r="F163" s="161">
        <f t="shared" si="9"/>
        <v>3.9353142675057753E-2</v>
      </c>
    </row>
    <row r="164" spans="1:6" ht="15" customHeight="1" x14ac:dyDescent="0.2">
      <c r="A164" s="147">
        <v>32</v>
      </c>
      <c r="B164" s="169" t="s">
        <v>291</v>
      </c>
      <c r="C164" s="157">
        <v>2501000</v>
      </c>
      <c r="D164" s="157">
        <v>2107000</v>
      </c>
      <c r="E164" s="157">
        <f t="shared" si="8"/>
        <v>-394000</v>
      </c>
      <c r="F164" s="161">
        <f t="shared" si="9"/>
        <v>-0.15753698520591763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3646000</v>
      </c>
      <c r="D166" s="157">
        <v>4183000</v>
      </c>
      <c r="E166" s="157">
        <f t="shared" si="8"/>
        <v>537000</v>
      </c>
      <c r="F166" s="161">
        <f t="shared" si="9"/>
        <v>0.14728469555677454</v>
      </c>
    </row>
    <row r="167" spans="1:6" ht="15.75" customHeight="1" x14ac:dyDescent="0.25">
      <c r="A167" s="147"/>
      <c r="B167" s="165" t="s">
        <v>294</v>
      </c>
      <c r="C167" s="158">
        <f>SUM(C133:C166)</f>
        <v>97458000</v>
      </c>
      <c r="D167" s="158">
        <f>SUM(D133:D166)</f>
        <v>101630000</v>
      </c>
      <c r="E167" s="158">
        <f t="shared" si="8"/>
        <v>4172000</v>
      </c>
      <c r="F167" s="159">
        <f t="shared" si="9"/>
        <v>4.2808184038252373E-2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46252000</v>
      </c>
      <c r="D170" s="157">
        <v>45280000</v>
      </c>
      <c r="E170" s="157">
        <f t="shared" ref="E170:E183" si="10">D170-C170</f>
        <v>-972000</v>
      </c>
      <c r="F170" s="161">
        <f t="shared" ref="F170:F183" si="11">IF(C170=0,0,E170/C170)</f>
        <v>-2.1015307446164491E-2</v>
      </c>
    </row>
    <row r="171" spans="1:6" ht="15" customHeight="1" x14ac:dyDescent="0.2">
      <c r="A171" s="147">
        <v>2</v>
      </c>
      <c r="B171" s="169" t="s">
        <v>297</v>
      </c>
      <c r="C171" s="157">
        <v>8338000</v>
      </c>
      <c r="D171" s="157">
        <v>7792000</v>
      </c>
      <c r="E171" s="157">
        <f t="shared" si="10"/>
        <v>-546000</v>
      </c>
      <c r="F171" s="161">
        <f t="shared" si="11"/>
        <v>-6.5483329335572077E-2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9988000</v>
      </c>
      <c r="D173" s="157">
        <v>10355000</v>
      </c>
      <c r="E173" s="157">
        <f t="shared" si="10"/>
        <v>367000</v>
      </c>
      <c r="F173" s="161">
        <f t="shared" si="11"/>
        <v>3.6744092911493789E-2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4084000</v>
      </c>
      <c r="D175" s="157">
        <v>4350000</v>
      </c>
      <c r="E175" s="157">
        <f t="shared" si="10"/>
        <v>266000</v>
      </c>
      <c r="F175" s="161">
        <f t="shared" si="11"/>
        <v>6.5132223310479923E-2</v>
      </c>
    </row>
    <row r="176" spans="1:6" ht="15" customHeight="1" x14ac:dyDescent="0.2">
      <c r="A176" s="147">
        <v>7</v>
      </c>
      <c r="B176" s="169" t="s">
        <v>302</v>
      </c>
      <c r="C176" s="157">
        <v>1490000</v>
      </c>
      <c r="D176" s="157">
        <v>1332000</v>
      </c>
      <c r="E176" s="157">
        <f t="shared" si="10"/>
        <v>-158000</v>
      </c>
      <c r="F176" s="161">
        <f t="shared" si="11"/>
        <v>-0.10604026845637583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2451000</v>
      </c>
      <c r="D178" s="157">
        <v>2951000</v>
      </c>
      <c r="E178" s="157">
        <f t="shared" si="10"/>
        <v>500000</v>
      </c>
      <c r="F178" s="161">
        <f t="shared" si="11"/>
        <v>0.2039983680130559</v>
      </c>
    </row>
    <row r="179" spans="1:6" ht="15" customHeight="1" x14ac:dyDescent="0.2">
      <c r="A179" s="147">
        <v>10</v>
      </c>
      <c r="B179" s="169" t="s">
        <v>305</v>
      </c>
      <c r="C179" s="157">
        <v>6381000</v>
      </c>
      <c r="D179" s="157">
        <v>6081000</v>
      </c>
      <c r="E179" s="157">
        <f t="shared" si="10"/>
        <v>-300000</v>
      </c>
      <c r="F179" s="161">
        <f t="shared" si="11"/>
        <v>-4.7014574518100614E-2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13324000</v>
      </c>
      <c r="D181" s="157">
        <v>13099000</v>
      </c>
      <c r="E181" s="157">
        <f t="shared" si="10"/>
        <v>-225000</v>
      </c>
      <c r="F181" s="161">
        <f t="shared" si="11"/>
        <v>-1.6886820774542181E-2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92308000</v>
      </c>
      <c r="D183" s="158">
        <f>SUM(D170:D182)</f>
        <v>91240000</v>
      </c>
      <c r="E183" s="158">
        <f t="shared" si="10"/>
        <v>-1068000</v>
      </c>
      <c r="F183" s="159">
        <f t="shared" si="11"/>
        <v>-1.1569961433461888E-2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60000</v>
      </c>
      <c r="D186" s="157">
        <v>236000</v>
      </c>
      <c r="E186" s="157">
        <f>D186-C186</f>
        <v>176000</v>
      </c>
      <c r="F186" s="161">
        <f>IF(C186=0,0,E186/C186)</f>
        <v>2.9333333333333331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424794000</v>
      </c>
      <c r="D188" s="158">
        <f>+D186+D183+D167+D130+D121</f>
        <v>435859000</v>
      </c>
      <c r="E188" s="158">
        <f>D188-C188</f>
        <v>11065000</v>
      </c>
      <c r="F188" s="159">
        <f>IF(C188=0,0,E188/C188)</f>
        <v>2.6047919697547516E-2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VINCENT`S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401065000</v>
      </c>
      <c r="D11" s="183">
        <v>402610000</v>
      </c>
      <c r="E11" s="76">
        <v>408149000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20648000</v>
      </c>
      <c r="D12" s="185">
        <v>18338000</v>
      </c>
      <c r="E12" s="185">
        <v>21611000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421713000</v>
      </c>
      <c r="D13" s="76">
        <f>+D11+D12</f>
        <v>420948000</v>
      </c>
      <c r="E13" s="76">
        <f>+E11+E12</f>
        <v>429760000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398392000</v>
      </c>
      <c r="D14" s="185">
        <v>424794000</v>
      </c>
      <c r="E14" s="185">
        <v>435859000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23321000</v>
      </c>
      <c r="D15" s="76">
        <f>+D13-D14</f>
        <v>-3846000</v>
      </c>
      <c r="E15" s="76">
        <f>+E13-E14</f>
        <v>-6099000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21661000</v>
      </c>
      <c r="D16" s="185">
        <v>-11242000</v>
      </c>
      <c r="E16" s="185">
        <v>6206000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44982000</v>
      </c>
      <c r="D17" s="76">
        <f>D15+D16</f>
        <v>-15088000</v>
      </c>
      <c r="E17" s="76">
        <f>E15+E16</f>
        <v>107000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5.2598934533824714E-2</v>
      </c>
      <c r="D20" s="189">
        <f>IF(+D27=0,0,+D24/+D27)</f>
        <v>-9.387219127862419E-3</v>
      </c>
      <c r="E20" s="189">
        <f>IF(+E27=0,0,+E24/+E27)</f>
        <v>-1.3989623043998844E-2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4.8854917067757693E-2</v>
      </c>
      <c r="D21" s="189">
        <f>IF(D27=0,0,+D26/D27)</f>
        <v>-2.7439188100735649E-2</v>
      </c>
      <c r="E21" s="189">
        <f>IF(E27=0,0,+E26/E27)</f>
        <v>1.4235055027226894E-2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0.10145385160158241</v>
      </c>
      <c r="D22" s="189">
        <f>IF(D27=0,0,+D28/D27)</f>
        <v>-3.682640722859807E-2</v>
      </c>
      <c r="E22" s="189">
        <f>IF(E27=0,0,+E28/E27)</f>
        <v>2.4543198322804987E-4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23321000</v>
      </c>
      <c r="D24" s="76">
        <f>+D15</f>
        <v>-3846000</v>
      </c>
      <c r="E24" s="76">
        <f>+E15</f>
        <v>-6099000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421713000</v>
      </c>
      <c r="D25" s="76">
        <f>+D13</f>
        <v>420948000</v>
      </c>
      <c r="E25" s="76">
        <f>+E13</f>
        <v>429760000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21661000</v>
      </c>
      <c r="D26" s="76">
        <f>+D16</f>
        <v>-11242000</v>
      </c>
      <c r="E26" s="76">
        <f>+E16</f>
        <v>6206000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443374000</v>
      </c>
      <c r="D27" s="76">
        <f>+D25+D26</f>
        <v>409706000</v>
      </c>
      <c r="E27" s="76">
        <f>+E25+E26</f>
        <v>435966000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44982000</v>
      </c>
      <c r="D28" s="76">
        <f>+D17</f>
        <v>-15088000</v>
      </c>
      <c r="E28" s="76">
        <f>+E17</f>
        <v>107000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522872000</v>
      </c>
      <c r="D31" s="76">
        <v>480367000</v>
      </c>
      <c r="E31" s="76">
        <v>157832000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544973000</v>
      </c>
      <c r="D32" s="76">
        <v>502440000</v>
      </c>
      <c r="E32" s="76">
        <v>180015000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6553000</v>
      </c>
      <c r="D33" s="76">
        <f>+D32-C32</f>
        <v>-42533000</v>
      </c>
      <c r="E33" s="76">
        <f>+E32-D32</f>
        <v>-322425000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1.0121</v>
      </c>
      <c r="D34" s="193">
        <f>IF(C32=0,0,+D33/C32)</f>
        <v>-7.8046068337330479E-2</v>
      </c>
      <c r="E34" s="193">
        <f>IF(D32=0,0,+E33/D32)</f>
        <v>-0.64171841413900166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0.32662130776301501</v>
      </c>
      <c r="D38" s="195">
        <f>IF((D40+D41)=0,0,+D39/(D40+D41))</f>
        <v>0.32017103283719889</v>
      </c>
      <c r="E38" s="195">
        <f>IF((E40+E41)=0,0,+E39/(E40+E41))</f>
        <v>0.3062956751753968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398392000</v>
      </c>
      <c r="D39" s="76">
        <v>424794000</v>
      </c>
      <c r="E39" s="196">
        <v>435859000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1199088712</v>
      </c>
      <c r="D40" s="76">
        <v>1306254120</v>
      </c>
      <c r="E40" s="196">
        <v>1401696830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20648000</v>
      </c>
      <c r="D41" s="76">
        <v>20518000</v>
      </c>
      <c r="E41" s="196">
        <v>21304000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1.6904597438635987</v>
      </c>
      <c r="D43" s="197">
        <f>IF(D38=0,0,IF((D46-D47)=0,0,((+D44-D45)/(D46-D47)/D38)))</f>
        <v>1.5281515085953559</v>
      </c>
      <c r="E43" s="197">
        <f>IF(E38=0,0,IF((E46-E47)=0,0,((+E44-E45)/(E46-E47)/E38)))</f>
        <v>1.3088572567541927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185574186</v>
      </c>
      <c r="D44" s="76">
        <v>183171404</v>
      </c>
      <c r="E44" s="196">
        <v>160413810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4045716</v>
      </c>
      <c r="D45" s="76">
        <v>9195412</v>
      </c>
      <c r="E45" s="196">
        <v>11601589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379181443</v>
      </c>
      <c r="D46" s="76">
        <v>407034704</v>
      </c>
      <c r="E46" s="196">
        <v>419025341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50409006</v>
      </c>
      <c r="D47" s="76">
        <v>51451802</v>
      </c>
      <c r="E47" s="76">
        <v>47827494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0.83648397644345784</v>
      </c>
      <c r="D49" s="198">
        <f>IF(D38=0,0,IF(D51=0,0,(D50/D51)/D38))</f>
        <v>0.74585902990284136</v>
      </c>
      <c r="E49" s="198">
        <f>IF(E38=0,0,IF(E51=0,0,(E50/E51)/E38))</f>
        <v>0.80325004107914977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156655774</v>
      </c>
      <c r="D50" s="199">
        <v>146193734</v>
      </c>
      <c r="E50" s="199">
        <v>164762884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573382280</v>
      </c>
      <c r="D51" s="199">
        <v>612195270</v>
      </c>
      <c r="E51" s="199">
        <v>669680671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0.75540788560090943</v>
      </c>
      <c r="D53" s="198">
        <f>IF(D38=0,0,IF(D55=0,0,(D54/D55)/D38))</f>
        <v>0.69454695002674105</v>
      </c>
      <c r="E53" s="198">
        <f>IF(E38=0,0,IF(E55=0,0,(E54/E55)/E38))</f>
        <v>0.78826776212903371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60356548</v>
      </c>
      <c r="D54" s="199">
        <v>62792573</v>
      </c>
      <c r="E54" s="199">
        <v>74354859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244623607</v>
      </c>
      <c r="D55" s="199">
        <v>282373953</v>
      </c>
      <c r="E55" s="199">
        <v>307960293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15738900.957176404</v>
      </c>
      <c r="D57" s="88">
        <f>+D60*D38</f>
        <v>13540353.149717977</v>
      </c>
      <c r="E57" s="88">
        <f>+E60*E38</f>
        <v>12781718.525069308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17249000</v>
      </c>
      <c r="D58" s="199">
        <v>21773000</v>
      </c>
      <c r="E58" s="199">
        <v>22570000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30938000</v>
      </c>
      <c r="D59" s="199">
        <v>20518000</v>
      </c>
      <c r="E59" s="199">
        <v>19160000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48187000</v>
      </c>
      <c r="D60" s="76">
        <v>42291000</v>
      </c>
      <c r="E60" s="201">
        <v>41730000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3.9506066781402248E-2</v>
      </c>
      <c r="D62" s="202">
        <f>IF(D63=0,0,+D57/D63)</f>
        <v>3.1875104520586395E-2</v>
      </c>
      <c r="E62" s="202">
        <f>IF(E63=0,0,+E57/E63)</f>
        <v>2.9325351834123669E-2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398392000</v>
      </c>
      <c r="D63" s="199">
        <v>424794000</v>
      </c>
      <c r="E63" s="199">
        <v>435859000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1.4279200217135619</v>
      </c>
      <c r="D67" s="203">
        <f>IF(D69=0,0,D68/D69)</f>
        <v>2.3289825681739731</v>
      </c>
      <c r="E67" s="203">
        <f>IF(E69=0,0,E68/E69)</f>
        <v>-57.577354260089685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78914000</v>
      </c>
      <c r="D68" s="204">
        <v>107953000</v>
      </c>
      <c r="E68" s="204">
        <v>51359000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55265000</v>
      </c>
      <c r="D69" s="204">
        <v>46352000</v>
      </c>
      <c r="E69" s="204">
        <v>-892000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0.64222355546109289</v>
      </c>
      <c r="D71" s="203">
        <f>IF((D77/365)=0,0,+D74/(D77/365))</f>
        <v>0.48255928742624221</v>
      </c>
      <c r="E71" s="203">
        <f>IF((E77/365)=0,0,+E74/(E77/365))</f>
        <v>1.3703186776312908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654000</v>
      </c>
      <c r="D72" s="183">
        <v>529000</v>
      </c>
      <c r="E72" s="183">
        <v>1544000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654000</v>
      </c>
      <c r="D74" s="204">
        <f>+D72+D73</f>
        <v>529000</v>
      </c>
      <c r="E74" s="204">
        <f>+E72+E73</f>
        <v>1544000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398392000</v>
      </c>
      <c r="D75" s="204">
        <f>+D14</f>
        <v>424794000</v>
      </c>
      <c r="E75" s="204">
        <f>+E14</f>
        <v>435859000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26699000</v>
      </c>
      <c r="D76" s="204">
        <v>24667000</v>
      </c>
      <c r="E76" s="204">
        <v>24597000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371693000</v>
      </c>
      <c r="D77" s="204">
        <f>+D75-D76</f>
        <v>400127000</v>
      </c>
      <c r="E77" s="204">
        <f>+E75-E76</f>
        <v>411262000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46.618690237243342</v>
      </c>
      <c r="D79" s="203">
        <f>IF((D84/365)=0,0,+D83/(D84/365))</f>
        <v>45.952956955862994</v>
      </c>
      <c r="E79" s="203">
        <f>IF((E84/365)=0,0,+E83/(E84/365))</f>
        <v>21.286576715856221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61867000</v>
      </c>
      <c r="D80" s="212">
        <v>60164000</v>
      </c>
      <c r="E80" s="212">
        <v>41712000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10642000</v>
      </c>
      <c r="D82" s="212">
        <v>9476000</v>
      </c>
      <c r="E82" s="212">
        <v>17909000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51225000</v>
      </c>
      <c r="D83" s="212">
        <f>+D80+D81-D82</f>
        <v>50688000</v>
      </c>
      <c r="E83" s="212">
        <f>+E80+E81-E82</f>
        <v>23803000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401065000</v>
      </c>
      <c r="D84" s="204">
        <f>+D11</f>
        <v>402610000</v>
      </c>
      <c r="E84" s="204">
        <f>+E11</f>
        <v>408149000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54.269854422870488</v>
      </c>
      <c r="D86" s="203">
        <f>IF((D90/365)=0,0,+D87/(D90/365))</f>
        <v>42.282775218868011</v>
      </c>
      <c r="E86" s="203">
        <f>IF((E90/365)=0,0,+E87/(E90/365))</f>
        <v>-0.79166079044502036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55265000</v>
      </c>
      <c r="D87" s="76">
        <f>+D69</f>
        <v>46352000</v>
      </c>
      <c r="E87" s="76">
        <f>+E69</f>
        <v>-892000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398392000</v>
      </c>
      <c r="D88" s="76">
        <f t="shared" si="0"/>
        <v>424794000</v>
      </c>
      <c r="E88" s="76">
        <f t="shared" si="0"/>
        <v>435859000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26699000</v>
      </c>
      <c r="D89" s="201">
        <f t="shared" si="0"/>
        <v>24667000</v>
      </c>
      <c r="E89" s="201">
        <f t="shared" si="0"/>
        <v>24597000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371693000</v>
      </c>
      <c r="D90" s="76">
        <f>+D88-D89</f>
        <v>400127000</v>
      </c>
      <c r="E90" s="76">
        <f>+E88-E89</f>
        <v>411262000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80.869126495967464</v>
      </c>
      <c r="D94" s="214">
        <f>IF(D96=0,0,(D95/D96)*100)</f>
        <v>80.994162887831038</v>
      </c>
      <c r="E94" s="214">
        <f>IF(E96=0,0,(E95/E96)*100)</f>
        <v>68.0614316663453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544973000</v>
      </c>
      <c r="D95" s="76">
        <f>+D32</f>
        <v>502440000</v>
      </c>
      <c r="E95" s="76">
        <f>+E32</f>
        <v>180015000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673895000</v>
      </c>
      <c r="D96" s="76">
        <v>620341000</v>
      </c>
      <c r="E96" s="76">
        <v>264489000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64.13374132130842</v>
      </c>
      <c r="D98" s="214">
        <f>IF(D104=0,0,(D101/D104)*100)</f>
        <v>9.4572847453276339</v>
      </c>
      <c r="E98" s="214">
        <f>IF(E104=0,0,(E101/E104)*100)</f>
        <v>46.215437572492235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44982000</v>
      </c>
      <c r="D99" s="76">
        <f>+D28</f>
        <v>-15088000</v>
      </c>
      <c r="E99" s="76">
        <f>+E28</f>
        <v>107000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26699000</v>
      </c>
      <c r="D100" s="201">
        <f>+D76</f>
        <v>24667000</v>
      </c>
      <c r="E100" s="201">
        <f>+E76</f>
        <v>24597000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71681000</v>
      </c>
      <c r="D101" s="76">
        <f>+D99+D100</f>
        <v>9579000</v>
      </c>
      <c r="E101" s="76">
        <f>+E99+E100</f>
        <v>24704000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55265000</v>
      </c>
      <c r="D102" s="204">
        <f>+D69</f>
        <v>46352000</v>
      </c>
      <c r="E102" s="204">
        <f>+E69</f>
        <v>-892000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56503000</v>
      </c>
      <c r="D103" s="216">
        <v>54935000</v>
      </c>
      <c r="E103" s="216">
        <v>54346000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111768000</v>
      </c>
      <c r="D104" s="204">
        <f>+D102+D103</f>
        <v>101287000</v>
      </c>
      <c r="E104" s="204">
        <f>+E102+E103</f>
        <v>53454000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9.3940572857437363</v>
      </c>
      <c r="D106" s="214">
        <f>IF(D109=0,0,(D107/D109)*100)</f>
        <v>9.856021529490917</v>
      </c>
      <c r="E106" s="214">
        <f>IF(E109=0,0,(E107/E109)*100)</f>
        <v>23.1890118236396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56503000</v>
      </c>
      <c r="D107" s="204">
        <f>+D103</f>
        <v>54935000</v>
      </c>
      <c r="E107" s="204">
        <f>+E103</f>
        <v>54346000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544973000</v>
      </c>
      <c r="D108" s="204">
        <f>+D32</f>
        <v>502440000</v>
      </c>
      <c r="E108" s="204">
        <f>+E32</f>
        <v>180015000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601476000</v>
      </c>
      <c r="D109" s="204">
        <f>+D107+D108</f>
        <v>557375000</v>
      </c>
      <c r="E109" s="204">
        <f>+E107+E108</f>
        <v>234361000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27.671284759465497</v>
      </c>
      <c r="D111" s="214">
        <f>IF((+D113+D115)=0,0,((+D112+D113+D114)/(+D113+D115)))</f>
        <v>4.3231939163498101</v>
      </c>
      <c r="E111" s="214">
        <f>IF((+E113+E115)=0,0,((+E112+E113+E114)/(+E113+E115)))</f>
        <v>10.588893328006392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44982000</v>
      </c>
      <c r="D112" s="76">
        <f>+D17</f>
        <v>-15088000</v>
      </c>
      <c r="E112" s="76">
        <f>+E17</f>
        <v>107000</v>
      </c>
    </row>
    <row r="113" spans="1:8" ht="24" customHeight="1" x14ac:dyDescent="0.2">
      <c r="A113" s="85">
        <v>17</v>
      </c>
      <c r="B113" s="75" t="s">
        <v>88</v>
      </c>
      <c r="C113" s="218">
        <v>1818000</v>
      </c>
      <c r="D113" s="76">
        <v>1791000</v>
      </c>
      <c r="E113" s="76">
        <v>1800000</v>
      </c>
    </row>
    <row r="114" spans="1:8" ht="24" customHeight="1" x14ac:dyDescent="0.2">
      <c r="A114" s="85">
        <v>18</v>
      </c>
      <c r="B114" s="75" t="s">
        <v>374</v>
      </c>
      <c r="C114" s="218">
        <v>26699000</v>
      </c>
      <c r="D114" s="76">
        <v>24667000</v>
      </c>
      <c r="E114" s="76">
        <v>24597000</v>
      </c>
    </row>
    <row r="115" spans="1:8" ht="24" customHeight="1" x14ac:dyDescent="0.2">
      <c r="A115" s="85">
        <v>19</v>
      </c>
      <c r="B115" s="75" t="s">
        <v>104</v>
      </c>
      <c r="C115" s="218">
        <v>838147</v>
      </c>
      <c r="D115" s="76">
        <v>839000</v>
      </c>
      <c r="E115" s="76">
        <v>703000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9.6740327353084385</v>
      </c>
      <c r="D119" s="214">
        <f>IF(+D121=0,0,(+D120)/(+D121))</f>
        <v>11.220253780354319</v>
      </c>
      <c r="E119" s="214">
        <f>IF(+E121=0,0,(+E120)/(+E121))</f>
        <v>12.015042484855877</v>
      </c>
    </row>
    <row r="120" spans="1:8" ht="24" customHeight="1" x14ac:dyDescent="0.2">
      <c r="A120" s="85">
        <v>21</v>
      </c>
      <c r="B120" s="75" t="s">
        <v>378</v>
      </c>
      <c r="C120" s="218">
        <v>258287000</v>
      </c>
      <c r="D120" s="218">
        <v>276770000</v>
      </c>
      <c r="E120" s="218">
        <v>295534000</v>
      </c>
    </row>
    <row r="121" spans="1:8" ht="24" customHeight="1" x14ac:dyDescent="0.2">
      <c r="A121" s="85">
        <v>22</v>
      </c>
      <c r="B121" s="75" t="s">
        <v>374</v>
      </c>
      <c r="C121" s="218">
        <v>26699000</v>
      </c>
      <c r="D121" s="218">
        <v>24667000</v>
      </c>
      <c r="E121" s="218">
        <v>24597000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110756</v>
      </c>
      <c r="D124" s="218">
        <v>111145</v>
      </c>
      <c r="E124" s="218">
        <v>98271</v>
      </c>
    </row>
    <row r="125" spans="1:8" ht="24" customHeight="1" x14ac:dyDescent="0.2">
      <c r="A125" s="85">
        <v>2</v>
      </c>
      <c r="B125" s="75" t="s">
        <v>381</v>
      </c>
      <c r="C125" s="218">
        <v>18711</v>
      </c>
      <c r="D125" s="218">
        <v>18308</v>
      </c>
      <c r="E125" s="218">
        <v>17172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5.9192988081876967</v>
      </c>
      <c r="D126" s="219">
        <f>IF(D125=0,0,D124/D125)</f>
        <v>6.0708433471706362</v>
      </c>
      <c r="E126" s="219">
        <f>IF(E125=0,0,E124/E125)</f>
        <v>5.7227463312368974</v>
      </c>
    </row>
    <row r="127" spans="1:8" ht="24" customHeight="1" x14ac:dyDescent="0.2">
      <c r="A127" s="85">
        <v>4</v>
      </c>
      <c r="B127" s="75" t="s">
        <v>383</v>
      </c>
      <c r="C127" s="218">
        <v>424</v>
      </c>
      <c r="D127" s="218">
        <v>424</v>
      </c>
      <c r="E127" s="218">
        <v>393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446</v>
      </c>
      <c r="E128" s="218">
        <v>393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446</v>
      </c>
      <c r="D129" s="218">
        <v>520</v>
      </c>
      <c r="E129" s="218">
        <v>520</v>
      </c>
    </row>
    <row r="130" spans="1:7" ht="24" customHeight="1" x14ac:dyDescent="0.2">
      <c r="A130" s="85">
        <v>7</v>
      </c>
      <c r="B130" s="75" t="s">
        <v>386</v>
      </c>
      <c r="C130" s="193">
        <v>0.71560000000000001</v>
      </c>
      <c r="D130" s="193">
        <v>0.71809999999999996</v>
      </c>
      <c r="E130" s="193">
        <v>0.68500000000000005</v>
      </c>
    </row>
    <row r="131" spans="1:7" ht="24" customHeight="1" x14ac:dyDescent="0.2">
      <c r="A131" s="85">
        <v>8</v>
      </c>
      <c r="B131" s="75" t="s">
        <v>387</v>
      </c>
      <c r="C131" s="193">
        <v>0.68030000000000002</v>
      </c>
      <c r="D131" s="193">
        <v>0.68269999999999997</v>
      </c>
      <c r="E131" s="193">
        <v>0.68500000000000005</v>
      </c>
    </row>
    <row r="132" spans="1:7" ht="24" customHeight="1" x14ac:dyDescent="0.2">
      <c r="A132" s="85">
        <v>9</v>
      </c>
      <c r="B132" s="75" t="s">
        <v>388</v>
      </c>
      <c r="C132" s="219">
        <v>2281.8000000000002</v>
      </c>
      <c r="D132" s="219">
        <v>2183.5</v>
      </c>
      <c r="E132" s="219">
        <v>1848.4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0.27418524893927948</v>
      </c>
      <c r="D135" s="227">
        <f>IF(D149=0,0,D143/D149)</f>
        <v>0.27221571710717363</v>
      </c>
      <c r="E135" s="227">
        <f>IF(E149=0,0,E143/E149)</f>
        <v>0.26482035134516213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0.47818170103831314</v>
      </c>
      <c r="D136" s="227">
        <f>IF(D149=0,0,D144/D149)</f>
        <v>0.46866475720666051</v>
      </c>
      <c r="E136" s="227">
        <f>IF(E149=0,0,E144/E149)</f>
        <v>0.47776427588838877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0.2040079308160479</v>
      </c>
      <c r="D137" s="227">
        <f>IF(D149=0,0,D145/D149)</f>
        <v>0.2161707654556527</v>
      </c>
      <c r="E137" s="227">
        <f>IF(E149=0,0,E145/E149)</f>
        <v>0.21970535026465032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9.1776862627992116E-4</v>
      </c>
      <c r="D138" s="227">
        <f>IF(D149=0,0,D146/D149)</f>
        <v>2.9605518105466338E-3</v>
      </c>
      <c r="E138" s="227">
        <f>IF(E149=0,0,E146/E149)</f>
        <v>2.9797927130933155E-3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4.2039430023422655E-2</v>
      </c>
      <c r="D139" s="227">
        <f>IF(D149=0,0,D147/D149)</f>
        <v>3.9388815095182245E-2</v>
      </c>
      <c r="E139" s="227">
        <f>IF(E149=0,0,E147/E149)</f>
        <v>3.4121140161242999E-2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6.6792055665686222E-4</v>
      </c>
      <c r="D140" s="227">
        <f>IF(D149=0,0,D148/D149)</f>
        <v>5.9939332478430767E-4</v>
      </c>
      <c r="E140" s="227">
        <f>IF(E149=0,0,E148/E149)</f>
        <v>6.0908962746245205E-4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328772437</v>
      </c>
      <c r="D143" s="229">
        <f>+D46-D147</f>
        <v>355582902</v>
      </c>
      <c r="E143" s="229">
        <f>+E46-E147</f>
        <v>371197847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573382280</v>
      </c>
      <c r="D144" s="229">
        <f>+D51</f>
        <v>612195270</v>
      </c>
      <c r="E144" s="229">
        <f>+E51</f>
        <v>669680671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244623607</v>
      </c>
      <c r="D145" s="229">
        <f>+D55</f>
        <v>282373953</v>
      </c>
      <c r="E145" s="229">
        <f>+E55</f>
        <v>307960293</v>
      </c>
    </row>
    <row r="146" spans="1:7" ht="20.100000000000001" customHeight="1" x14ac:dyDescent="0.2">
      <c r="A146" s="226">
        <v>11</v>
      </c>
      <c r="B146" s="224" t="s">
        <v>400</v>
      </c>
      <c r="C146" s="228">
        <v>1100486</v>
      </c>
      <c r="D146" s="229">
        <v>3867233</v>
      </c>
      <c r="E146" s="229">
        <v>4176766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50409006</v>
      </c>
      <c r="D147" s="229">
        <f>+D47</f>
        <v>51451802</v>
      </c>
      <c r="E147" s="229">
        <f>+E47</f>
        <v>47827494</v>
      </c>
    </row>
    <row r="148" spans="1:7" ht="20.100000000000001" customHeight="1" x14ac:dyDescent="0.2">
      <c r="A148" s="226">
        <v>13</v>
      </c>
      <c r="B148" s="224" t="s">
        <v>402</v>
      </c>
      <c r="C148" s="230">
        <v>800896</v>
      </c>
      <c r="D148" s="229">
        <v>782960</v>
      </c>
      <c r="E148" s="229">
        <v>853759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1199088712</v>
      </c>
      <c r="D149" s="229">
        <f>SUM(D143:D148)</f>
        <v>1306254120</v>
      </c>
      <c r="E149" s="229">
        <f>SUM(E143:E148)</f>
        <v>1401696830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0.45044087747029438</v>
      </c>
      <c r="D152" s="227">
        <f>IF(D166=0,0,D160/D166)</f>
        <v>0.44305239676228142</v>
      </c>
      <c r="E152" s="227">
        <f>IF(E166=0,0,E160/E166)</f>
        <v>0.37142761034584948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0.38872229960043253</v>
      </c>
      <c r="D153" s="227">
        <f>IF(D166=0,0,D161/D166)</f>
        <v>0.37230127844494448</v>
      </c>
      <c r="E153" s="227">
        <f>IF(E166=0,0,E161/E166)</f>
        <v>0.4112396405790516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0.14976745213683529</v>
      </c>
      <c r="D154" s="227">
        <f>IF(D166=0,0,D162/D166)</f>
        <v>0.15990941995330321</v>
      </c>
      <c r="E154" s="227">
        <f>IF(E166=0,0,E162/E166)</f>
        <v>0.18558588407851651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4.1626864525318906E-4</v>
      </c>
      <c r="D155" s="227">
        <f>IF(D166=0,0,D163/D166)</f>
        <v>6.4379303557181766E-4</v>
      </c>
      <c r="E155" s="227">
        <f>IF(E166=0,0,E163/E166)</f>
        <v>1.9977170858773243E-3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1.0038953476750007E-2</v>
      </c>
      <c r="D156" s="227">
        <f>IF(D166=0,0,D164/D166)</f>
        <v>2.3417307635277884E-2</v>
      </c>
      <c r="E156" s="227">
        <f>IF(E166=0,0,E164/E166)</f>
        <v>2.8956966366926903E-2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6.1414867043461702E-4</v>
      </c>
      <c r="D157" s="227">
        <f>IF(D166=0,0,D165/D166)</f>
        <v>6.7580416862115177E-4</v>
      </c>
      <c r="E157" s="227">
        <f>IF(E166=0,0,E165/E166)</f>
        <v>7.921815437781695E-4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181528470</v>
      </c>
      <c r="D160" s="229">
        <f>+D44-D164</f>
        <v>173975992</v>
      </c>
      <c r="E160" s="229">
        <f>+E44-E164</f>
        <v>148812221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156655774</v>
      </c>
      <c r="D161" s="229">
        <f>+D50</f>
        <v>146193734</v>
      </c>
      <c r="E161" s="229">
        <f>+E50</f>
        <v>164762884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60356548</v>
      </c>
      <c r="D162" s="229">
        <f>+D54</f>
        <v>62792573</v>
      </c>
      <c r="E162" s="229">
        <f>+E54</f>
        <v>74354859</v>
      </c>
    </row>
    <row r="163" spans="1:6" ht="20.100000000000001" customHeight="1" x14ac:dyDescent="0.2">
      <c r="A163" s="226">
        <v>11</v>
      </c>
      <c r="B163" s="224" t="s">
        <v>415</v>
      </c>
      <c r="C163" s="228">
        <v>167757</v>
      </c>
      <c r="D163" s="229">
        <v>252802</v>
      </c>
      <c r="E163" s="229">
        <v>800384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4045716</v>
      </c>
      <c r="D164" s="229">
        <f>+D45</f>
        <v>9195412</v>
      </c>
      <c r="E164" s="229">
        <f>+E45</f>
        <v>11601589</v>
      </c>
    </row>
    <row r="165" spans="1:6" ht="20.100000000000001" customHeight="1" x14ac:dyDescent="0.2">
      <c r="A165" s="226">
        <v>13</v>
      </c>
      <c r="B165" s="224" t="s">
        <v>417</v>
      </c>
      <c r="C165" s="230">
        <v>247503</v>
      </c>
      <c r="D165" s="229">
        <v>265372</v>
      </c>
      <c r="E165" s="229">
        <v>317387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403001768</v>
      </c>
      <c r="D166" s="229">
        <f>SUM(D160:D165)</f>
        <v>392675885</v>
      </c>
      <c r="E166" s="229">
        <f>SUM(E160:E165)</f>
        <v>400649324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5420</v>
      </c>
      <c r="D169" s="218">
        <v>5278</v>
      </c>
      <c r="E169" s="218">
        <v>4936</v>
      </c>
    </row>
    <row r="170" spans="1:6" ht="20.100000000000001" customHeight="1" x14ac:dyDescent="0.2">
      <c r="A170" s="226">
        <v>2</v>
      </c>
      <c r="B170" s="224" t="s">
        <v>420</v>
      </c>
      <c r="C170" s="218">
        <v>8674</v>
      </c>
      <c r="D170" s="218">
        <v>8262</v>
      </c>
      <c r="E170" s="218">
        <v>7702</v>
      </c>
    </row>
    <row r="171" spans="1:6" ht="20.100000000000001" customHeight="1" x14ac:dyDescent="0.2">
      <c r="A171" s="226">
        <v>3</v>
      </c>
      <c r="B171" s="224" t="s">
        <v>421</v>
      </c>
      <c r="C171" s="218">
        <v>4589</v>
      </c>
      <c r="D171" s="218">
        <v>4749</v>
      </c>
      <c r="E171" s="218">
        <v>4517</v>
      </c>
    </row>
    <row r="172" spans="1:6" ht="20.100000000000001" customHeight="1" x14ac:dyDescent="0.2">
      <c r="A172" s="226">
        <v>4</v>
      </c>
      <c r="B172" s="224" t="s">
        <v>422</v>
      </c>
      <c r="C172" s="218">
        <v>4548</v>
      </c>
      <c r="D172" s="218">
        <v>4699</v>
      </c>
      <c r="E172" s="218">
        <v>4455</v>
      </c>
    </row>
    <row r="173" spans="1:6" ht="20.100000000000001" customHeight="1" x14ac:dyDescent="0.2">
      <c r="A173" s="226">
        <v>5</v>
      </c>
      <c r="B173" s="224" t="s">
        <v>423</v>
      </c>
      <c r="C173" s="218">
        <v>41</v>
      </c>
      <c r="D173" s="218">
        <v>50</v>
      </c>
      <c r="E173" s="218">
        <v>62</v>
      </c>
    </row>
    <row r="174" spans="1:6" ht="20.100000000000001" customHeight="1" x14ac:dyDescent="0.2">
      <c r="A174" s="226">
        <v>6</v>
      </c>
      <c r="B174" s="224" t="s">
        <v>424</v>
      </c>
      <c r="C174" s="218">
        <v>28</v>
      </c>
      <c r="D174" s="218">
        <v>19</v>
      </c>
      <c r="E174" s="218">
        <v>17</v>
      </c>
    </row>
    <row r="175" spans="1:6" ht="20.100000000000001" customHeight="1" x14ac:dyDescent="0.2">
      <c r="A175" s="226">
        <v>7</v>
      </c>
      <c r="B175" s="224" t="s">
        <v>425</v>
      </c>
      <c r="C175" s="218">
        <v>584</v>
      </c>
      <c r="D175" s="218">
        <v>521</v>
      </c>
      <c r="E175" s="218">
        <v>433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18711</v>
      </c>
      <c r="D176" s="218">
        <f>+D169+D170+D171+D174</f>
        <v>18308</v>
      </c>
      <c r="E176" s="218">
        <f>+E169+E170+E171+E174</f>
        <v>17172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1.3435999999999999</v>
      </c>
      <c r="D179" s="231">
        <v>1.4165000000000001</v>
      </c>
      <c r="E179" s="231">
        <v>1.3996</v>
      </c>
    </row>
    <row r="180" spans="1:6" ht="20.100000000000001" customHeight="1" x14ac:dyDescent="0.2">
      <c r="A180" s="226">
        <v>2</v>
      </c>
      <c r="B180" s="224" t="s">
        <v>420</v>
      </c>
      <c r="C180" s="231">
        <v>1.5561</v>
      </c>
      <c r="D180" s="231">
        <v>1.5427</v>
      </c>
      <c r="E180" s="231">
        <v>1.6884999999999999</v>
      </c>
    </row>
    <row r="181" spans="1:6" ht="20.100000000000001" customHeight="1" x14ac:dyDescent="0.2">
      <c r="A181" s="226">
        <v>3</v>
      </c>
      <c r="B181" s="224" t="s">
        <v>421</v>
      </c>
      <c r="C181" s="231">
        <v>1.076314</v>
      </c>
      <c r="D181" s="231">
        <v>1.1376470000000001</v>
      </c>
      <c r="E181" s="231">
        <v>1.143991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1.0742</v>
      </c>
      <c r="D182" s="231">
        <v>1.1379999999999999</v>
      </c>
      <c r="E182" s="231">
        <v>1.1447000000000001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1.3109</v>
      </c>
      <c r="D183" s="231">
        <v>1.1045</v>
      </c>
      <c r="E183" s="231">
        <v>1.0931</v>
      </c>
    </row>
    <row r="184" spans="1:6" ht="20.100000000000001" customHeight="1" x14ac:dyDescent="0.2">
      <c r="A184" s="226">
        <v>6</v>
      </c>
      <c r="B184" s="224" t="s">
        <v>424</v>
      </c>
      <c r="C184" s="231">
        <v>0.84150000000000003</v>
      </c>
      <c r="D184" s="231">
        <v>1.0709</v>
      </c>
      <c r="E184" s="231">
        <v>0.91410000000000002</v>
      </c>
    </row>
    <row r="185" spans="1:6" ht="20.100000000000001" customHeight="1" x14ac:dyDescent="0.2">
      <c r="A185" s="226">
        <v>7</v>
      </c>
      <c r="B185" s="224" t="s">
        <v>425</v>
      </c>
      <c r="C185" s="231">
        <v>1.1977</v>
      </c>
      <c r="D185" s="231">
        <v>1.2241</v>
      </c>
      <c r="E185" s="231">
        <v>1.3635999999999999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1.3758049999999999</v>
      </c>
      <c r="D186" s="231">
        <v>1.4007590000000001</v>
      </c>
      <c r="E186" s="231">
        <v>1.46146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13155</v>
      </c>
      <c r="D189" s="218">
        <v>11960</v>
      </c>
      <c r="E189" s="218">
        <v>11403</v>
      </c>
    </row>
    <row r="190" spans="1:6" ht="20.100000000000001" customHeight="1" x14ac:dyDescent="0.2">
      <c r="A190" s="226">
        <v>2</v>
      </c>
      <c r="B190" s="224" t="s">
        <v>433</v>
      </c>
      <c r="C190" s="218">
        <v>57689</v>
      </c>
      <c r="D190" s="218">
        <v>54306</v>
      </c>
      <c r="E190" s="218">
        <v>57339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70844</v>
      </c>
      <c r="D191" s="218">
        <f>+D190+D189</f>
        <v>66266</v>
      </c>
      <c r="E191" s="218">
        <f>+E190+E189</f>
        <v>68742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FILING&amp;RSAINT VINCENT`S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1899154</v>
      </c>
      <c r="D14" s="258">
        <v>6147559</v>
      </c>
      <c r="E14" s="258">
        <f t="shared" ref="E14:E24" si="0">D14-C14</f>
        <v>4248405</v>
      </c>
      <c r="F14" s="259">
        <f t="shared" ref="F14:F24" si="1">IF(C14=0,0,E14/C14)</f>
        <v>2.2369986846774932</v>
      </c>
    </row>
    <row r="15" spans="1:7" ht="20.25" customHeight="1" x14ac:dyDescent="0.3">
      <c r="A15" s="256">
        <v>2</v>
      </c>
      <c r="B15" s="257" t="s">
        <v>442</v>
      </c>
      <c r="C15" s="258">
        <v>624406</v>
      </c>
      <c r="D15" s="258">
        <v>1145232</v>
      </c>
      <c r="E15" s="258">
        <f t="shared" si="0"/>
        <v>520826</v>
      </c>
      <c r="F15" s="259">
        <f t="shared" si="1"/>
        <v>0.8341143422708942</v>
      </c>
    </row>
    <row r="16" spans="1:7" ht="20.25" customHeight="1" x14ac:dyDescent="0.3">
      <c r="A16" s="256">
        <v>3</v>
      </c>
      <c r="B16" s="257" t="s">
        <v>443</v>
      </c>
      <c r="C16" s="258">
        <v>1537725</v>
      </c>
      <c r="D16" s="258">
        <v>4278034</v>
      </c>
      <c r="E16" s="258">
        <f t="shared" si="0"/>
        <v>2740309</v>
      </c>
      <c r="F16" s="259">
        <f t="shared" si="1"/>
        <v>1.7820540083565006</v>
      </c>
    </row>
    <row r="17" spans="1:6" ht="20.25" customHeight="1" x14ac:dyDescent="0.3">
      <c r="A17" s="256">
        <v>4</v>
      </c>
      <c r="B17" s="257" t="s">
        <v>444</v>
      </c>
      <c r="C17" s="258">
        <v>540494</v>
      </c>
      <c r="D17" s="258">
        <v>776997</v>
      </c>
      <c r="E17" s="258">
        <f t="shared" si="0"/>
        <v>236503</v>
      </c>
      <c r="F17" s="259">
        <f t="shared" si="1"/>
        <v>0.43756822462414013</v>
      </c>
    </row>
    <row r="18" spans="1:6" ht="20.25" customHeight="1" x14ac:dyDescent="0.3">
      <c r="A18" s="256">
        <v>5</v>
      </c>
      <c r="B18" s="257" t="s">
        <v>381</v>
      </c>
      <c r="C18" s="260">
        <v>34</v>
      </c>
      <c r="D18" s="260">
        <v>115</v>
      </c>
      <c r="E18" s="260">
        <f t="shared" si="0"/>
        <v>81</v>
      </c>
      <c r="F18" s="259">
        <f t="shared" si="1"/>
        <v>2.3823529411764706</v>
      </c>
    </row>
    <row r="19" spans="1:6" ht="20.25" customHeight="1" x14ac:dyDescent="0.3">
      <c r="A19" s="256">
        <v>6</v>
      </c>
      <c r="B19" s="257" t="s">
        <v>380</v>
      </c>
      <c r="C19" s="260">
        <v>221</v>
      </c>
      <c r="D19" s="260">
        <v>605</v>
      </c>
      <c r="E19" s="260">
        <f t="shared" si="0"/>
        <v>384</v>
      </c>
      <c r="F19" s="259">
        <f t="shared" si="1"/>
        <v>1.7375565610859729</v>
      </c>
    </row>
    <row r="20" spans="1:6" ht="20.25" customHeight="1" x14ac:dyDescent="0.3">
      <c r="A20" s="256">
        <v>7</v>
      </c>
      <c r="B20" s="257" t="s">
        <v>445</v>
      </c>
      <c r="C20" s="260">
        <v>171</v>
      </c>
      <c r="D20" s="260">
        <v>625</v>
      </c>
      <c r="E20" s="260">
        <f t="shared" si="0"/>
        <v>454</v>
      </c>
      <c r="F20" s="259">
        <f t="shared" si="1"/>
        <v>2.6549707602339181</v>
      </c>
    </row>
    <row r="21" spans="1:6" ht="20.25" customHeight="1" x14ac:dyDescent="0.3">
      <c r="A21" s="256">
        <v>8</v>
      </c>
      <c r="B21" s="257" t="s">
        <v>446</v>
      </c>
      <c r="C21" s="260">
        <v>51</v>
      </c>
      <c r="D21" s="260">
        <v>266</v>
      </c>
      <c r="E21" s="260">
        <f t="shared" si="0"/>
        <v>215</v>
      </c>
      <c r="F21" s="259">
        <f t="shared" si="1"/>
        <v>4.215686274509804</v>
      </c>
    </row>
    <row r="22" spans="1:6" ht="20.25" customHeight="1" x14ac:dyDescent="0.3">
      <c r="A22" s="256">
        <v>9</v>
      </c>
      <c r="B22" s="257" t="s">
        <v>447</v>
      </c>
      <c r="C22" s="260">
        <v>26</v>
      </c>
      <c r="D22" s="260">
        <v>95</v>
      </c>
      <c r="E22" s="260">
        <f t="shared" si="0"/>
        <v>69</v>
      </c>
      <c r="F22" s="259">
        <f t="shared" si="1"/>
        <v>2.6538461538461537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3436879</v>
      </c>
      <c r="D23" s="263">
        <f>+D14+D16</f>
        <v>10425593</v>
      </c>
      <c r="E23" s="263">
        <f t="shared" si="0"/>
        <v>6988714</v>
      </c>
      <c r="F23" s="264">
        <f t="shared" si="1"/>
        <v>2.0334477879494739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1164900</v>
      </c>
      <c r="D24" s="263">
        <f>+D15+D17</f>
        <v>1922229</v>
      </c>
      <c r="E24" s="263">
        <f t="shared" si="0"/>
        <v>757329</v>
      </c>
      <c r="F24" s="264">
        <f t="shared" si="1"/>
        <v>0.65012361576100952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150181</v>
      </c>
      <c r="D27" s="258">
        <v>0</v>
      </c>
      <c r="E27" s="258">
        <f t="shared" ref="E27:E37" si="2">D27-C27</f>
        <v>-150181</v>
      </c>
      <c r="F27" s="259">
        <f t="shared" ref="F27:F37" si="3">IF(C27=0,0,E27/C27)</f>
        <v>-1</v>
      </c>
    </row>
    <row r="28" spans="1:6" ht="20.25" customHeight="1" x14ac:dyDescent="0.3">
      <c r="A28" s="256">
        <v>2</v>
      </c>
      <c r="B28" s="257" t="s">
        <v>442</v>
      </c>
      <c r="C28" s="258">
        <v>116957</v>
      </c>
      <c r="D28" s="258">
        <v>0</v>
      </c>
      <c r="E28" s="258">
        <f t="shared" si="2"/>
        <v>-116957</v>
      </c>
      <c r="F28" s="259">
        <f t="shared" si="3"/>
        <v>-1</v>
      </c>
    </row>
    <row r="29" spans="1:6" ht="20.25" customHeight="1" x14ac:dyDescent="0.3">
      <c r="A29" s="256">
        <v>3</v>
      </c>
      <c r="B29" s="257" t="s">
        <v>443</v>
      </c>
      <c r="C29" s="258">
        <v>14726</v>
      </c>
      <c r="D29" s="258">
        <v>0</v>
      </c>
      <c r="E29" s="258">
        <f t="shared" si="2"/>
        <v>-14726</v>
      </c>
      <c r="F29" s="259">
        <f t="shared" si="3"/>
        <v>-1</v>
      </c>
    </row>
    <row r="30" spans="1:6" ht="20.25" customHeight="1" x14ac:dyDescent="0.3">
      <c r="A30" s="256">
        <v>4</v>
      </c>
      <c r="B30" s="257" t="s">
        <v>444</v>
      </c>
      <c r="C30" s="258">
        <v>9246</v>
      </c>
      <c r="D30" s="258">
        <v>0</v>
      </c>
      <c r="E30" s="258">
        <f t="shared" si="2"/>
        <v>-9246</v>
      </c>
      <c r="F30" s="259">
        <f t="shared" si="3"/>
        <v>-1</v>
      </c>
    </row>
    <row r="31" spans="1:6" ht="20.25" customHeight="1" x14ac:dyDescent="0.3">
      <c r="A31" s="256">
        <v>5</v>
      </c>
      <c r="B31" s="257" t="s">
        <v>381</v>
      </c>
      <c r="C31" s="260">
        <v>2</v>
      </c>
      <c r="D31" s="260">
        <v>0</v>
      </c>
      <c r="E31" s="260">
        <f t="shared" si="2"/>
        <v>-2</v>
      </c>
      <c r="F31" s="259">
        <f t="shared" si="3"/>
        <v>-1</v>
      </c>
    </row>
    <row r="32" spans="1:6" ht="20.25" customHeight="1" x14ac:dyDescent="0.3">
      <c r="A32" s="256">
        <v>6</v>
      </c>
      <c r="B32" s="257" t="s">
        <v>380</v>
      </c>
      <c r="C32" s="260">
        <v>18</v>
      </c>
      <c r="D32" s="260">
        <v>0</v>
      </c>
      <c r="E32" s="260">
        <f t="shared" si="2"/>
        <v>-18</v>
      </c>
      <c r="F32" s="259">
        <f t="shared" si="3"/>
        <v>-1</v>
      </c>
    </row>
    <row r="33" spans="1:6" ht="20.25" customHeight="1" x14ac:dyDescent="0.3">
      <c r="A33" s="256">
        <v>7</v>
      </c>
      <c r="B33" s="257" t="s">
        <v>445</v>
      </c>
      <c r="C33" s="260">
        <v>5</v>
      </c>
      <c r="D33" s="260">
        <v>0</v>
      </c>
      <c r="E33" s="260">
        <f t="shared" si="2"/>
        <v>-5</v>
      </c>
      <c r="F33" s="259">
        <f t="shared" si="3"/>
        <v>-1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1</v>
      </c>
      <c r="D35" s="260">
        <v>0</v>
      </c>
      <c r="E35" s="260">
        <f t="shared" si="2"/>
        <v>-1</v>
      </c>
      <c r="F35" s="259">
        <f t="shared" si="3"/>
        <v>-1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164907</v>
      </c>
      <c r="D36" s="263">
        <f>+D27+D29</f>
        <v>0</v>
      </c>
      <c r="E36" s="263">
        <f t="shared" si="2"/>
        <v>-164907</v>
      </c>
      <c r="F36" s="264">
        <f t="shared" si="3"/>
        <v>-1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126203</v>
      </c>
      <c r="D37" s="263">
        <f>+D28+D30</f>
        <v>0</v>
      </c>
      <c r="E37" s="263">
        <f t="shared" si="2"/>
        <v>-126203</v>
      </c>
      <c r="F37" s="264">
        <f t="shared" si="3"/>
        <v>-1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31590361</v>
      </c>
      <c r="D40" s="258">
        <v>34501552</v>
      </c>
      <c r="E40" s="258">
        <f t="shared" ref="E40:E50" si="4">D40-C40</f>
        <v>2911191</v>
      </c>
      <c r="F40" s="259">
        <f t="shared" ref="F40:F50" si="5">IF(C40=0,0,E40/C40)</f>
        <v>9.2154407478914221E-2</v>
      </c>
    </row>
    <row r="41" spans="1:6" ht="20.25" customHeight="1" x14ac:dyDescent="0.3">
      <c r="A41" s="256">
        <v>2</v>
      </c>
      <c r="B41" s="257" t="s">
        <v>442</v>
      </c>
      <c r="C41" s="258">
        <v>7097225</v>
      </c>
      <c r="D41" s="258">
        <v>8589315</v>
      </c>
      <c r="E41" s="258">
        <f t="shared" si="4"/>
        <v>1492090</v>
      </c>
      <c r="F41" s="259">
        <f t="shared" si="5"/>
        <v>0.21023569071010148</v>
      </c>
    </row>
    <row r="42" spans="1:6" ht="20.25" customHeight="1" x14ac:dyDescent="0.3">
      <c r="A42" s="256">
        <v>3</v>
      </c>
      <c r="B42" s="257" t="s">
        <v>443</v>
      </c>
      <c r="C42" s="258">
        <v>13802838</v>
      </c>
      <c r="D42" s="258">
        <v>15858674</v>
      </c>
      <c r="E42" s="258">
        <f t="shared" si="4"/>
        <v>2055836</v>
      </c>
      <c r="F42" s="259">
        <f t="shared" si="5"/>
        <v>0.14894299273816008</v>
      </c>
    </row>
    <row r="43" spans="1:6" ht="20.25" customHeight="1" x14ac:dyDescent="0.3">
      <c r="A43" s="256">
        <v>4</v>
      </c>
      <c r="B43" s="257" t="s">
        <v>444</v>
      </c>
      <c r="C43" s="258">
        <v>3719544</v>
      </c>
      <c r="D43" s="258">
        <v>3026091</v>
      </c>
      <c r="E43" s="258">
        <f t="shared" si="4"/>
        <v>-693453</v>
      </c>
      <c r="F43" s="259">
        <f t="shared" si="5"/>
        <v>-0.18643495009065628</v>
      </c>
    </row>
    <row r="44" spans="1:6" ht="20.25" customHeight="1" x14ac:dyDescent="0.3">
      <c r="A44" s="256">
        <v>5</v>
      </c>
      <c r="B44" s="257" t="s">
        <v>381</v>
      </c>
      <c r="C44" s="260">
        <v>568</v>
      </c>
      <c r="D44" s="260">
        <v>540</v>
      </c>
      <c r="E44" s="260">
        <f t="shared" si="4"/>
        <v>-28</v>
      </c>
      <c r="F44" s="259">
        <f t="shared" si="5"/>
        <v>-4.9295774647887321E-2</v>
      </c>
    </row>
    <row r="45" spans="1:6" ht="20.25" customHeight="1" x14ac:dyDescent="0.3">
      <c r="A45" s="256">
        <v>6</v>
      </c>
      <c r="B45" s="257" t="s">
        <v>380</v>
      </c>
      <c r="C45" s="260">
        <v>3097</v>
      </c>
      <c r="D45" s="260">
        <v>3202</v>
      </c>
      <c r="E45" s="260">
        <f t="shared" si="4"/>
        <v>105</v>
      </c>
      <c r="F45" s="259">
        <f t="shared" si="5"/>
        <v>3.3903777849531802E-2</v>
      </c>
    </row>
    <row r="46" spans="1:6" ht="20.25" customHeight="1" x14ac:dyDescent="0.3">
      <c r="A46" s="256">
        <v>7</v>
      </c>
      <c r="B46" s="257" t="s">
        <v>445</v>
      </c>
      <c r="C46" s="260">
        <v>2211</v>
      </c>
      <c r="D46" s="260">
        <v>2845</v>
      </c>
      <c r="E46" s="260">
        <f t="shared" si="4"/>
        <v>634</v>
      </c>
      <c r="F46" s="259">
        <f t="shared" si="5"/>
        <v>0.28674807779285394</v>
      </c>
    </row>
    <row r="47" spans="1:6" ht="20.25" customHeight="1" x14ac:dyDescent="0.3">
      <c r="A47" s="256">
        <v>8</v>
      </c>
      <c r="B47" s="257" t="s">
        <v>446</v>
      </c>
      <c r="C47" s="260">
        <v>568</v>
      </c>
      <c r="D47" s="260">
        <v>740</v>
      </c>
      <c r="E47" s="260">
        <f t="shared" si="4"/>
        <v>172</v>
      </c>
      <c r="F47" s="259">
        <f t="shared" si="5"/>
        <v>0.30281690140845069</v>
      </c>
    </row>
    <row r="48" spans="1:6" ht="20.25" customHeight="1" x14ac:dyDescent="0.3">
      <c r="A48" s="256">
        <v>9</v>
      </c>
      <c r="B48" s="257" t="s">
        <v>447</v>
      </c>
      <c r="C48" s="260">
        <v>446</v>
      </c>
      <c r="D48" s="260">
        <v>435</v>
      </c>
      <c r="E48" s="260">
        <f t="shared" si="4"/>
        <v>-11</v>
      </c>
      <c r="F48" s="259">
        <f t="shared" si="5"/>
        <v>-2.4663677130044841E-2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45393199</v>
      </c>
      <c r="D49" s="263">
        <f>+D40+D42</f>
        <v>50360226</v>
      </c>
      <c r="E49" s="263">
        <f t="shared" si="4"/>
        <v>4967027</v>
      </c>
      <c r="F49" s="264">
        <f t="shared" si="5"/>
        <v>0.10942227270653473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10816769</v>
      </c>
      <c r="D50" s="263">
        <f>+D41+D43</f>
        <v>11615406</v>
      </c>
      <c r="E50" s="263">
        <f t="shared" si="4"/>
        <v>798637</v>
      </c>
      <c r="F50" s="264">
        <f t="shared" si="5"/>
        <v>7.3833230607032466E-2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1574147</v>
      </c>
      <c r="D66" s="258">
        <v>1806548</v>
      </c>
      <c r="E66" s="258">
        <f t="shared" ref="E66:E76" si="8">D66-C66</f>
        <v>232401</v>
      </c>
      <c r="F66" s="259">
        <f t="shared" ref="F66:F76" si="9">IF(C66=0,0,E66/C66)</f>
        <v>0.14763614833938635</v>
      </c>
    </row>
    <row r="67" spans="1:6" ht="20.25" customHeight="1" x14ac:dyDescent="0.3">
      <c r="A67" s="256">
        <v>2</v>
      </c>
      <c r="B67" s="257" t="s">
        <v>442</v>
      </c>
      <c r="C67" s="258">
        <v>1011066</v>
      </c>
      <c r="D67" s="258">
        <v>174534</v>
      </c>
      <c r="E67" s="258">
        <f t="shared" si="8"/>
        <v>-836532</v>
      </c>
      <c r="F67" s="259">
        <f t="shared" si="9"/>
        <v>-0.82737625436915097</v>
      </c>
    </row>
    <row r="68" spans="1:6" ht="20.25" customHeight="1" x14ac:dyDescent="0.3">
      <c r="A68" s="256">
        <v>3</v>
      </c>
      <c r="B68" s="257" t="s">
        <v>443</v>
      </c>
      <c r="C68" s="258">
        <v>283880</v>
      </c>
      <c r="D68" s="258">
        <v>678533</v>
      </c>
      <c r="E68" s="258">
        <f t="shared" si="8"/>
        <v>394653</v>
      </c>
      <c r="F68" s="259">
        <f t="shared" si="9"/>
        <v>1.3902106523883331</v>
      </c>
    </row>
    <row r="69" spans="1:6" ht="20.25" customHeight="1" x14ac:dyDescent="0.3">
      <c r="A69" s="256">
        <v>4</v>
      </c>
      <c r="B69" s="257" t="s">
        <v>444</v>
      </c>
      <c r="C69" s="258">
        <v>128521</v>
      </c>
      <c r="D69" s="258">
        <v>135583</v>
      </c>
      <c r="E69" s="258">
        <f t="shared" si="8"/>
        <v>7062</v>
      </c>
      <c r="F69" s="259">
        <f t="shared" si="9"/>
        <v>5.49482185790649E-2</v>
      </c>
    </row>
    <row r="70" spans="1:6" ht="20.25" customHeight="1" x14ac:dyDescent="0.3">
      <c r="A70" s="256">
        <v>5</v>
      </c>
      <c r="B70" s="257" t="s">
        <v>381</v>
      </c>
      <c r="C70" s="260">
        <v>24</v>
      </c>
      <c r="D70" s="260">
        <v>14</v>
      </c>
      <c r="E70" s="260">
        <f t="shared" si="8"/>
        <v>-10</v>
      </c>
      <c r="F70" s="259">
        <f t="shared" si="9"/>
        <v>-0.41666666666666669</v>
      </c>
    </row>
    <row r="71" spans="1:6" ht="20.25" customHeight="1" x14ac:dyDescent="0.3">
      <c r="A71" s="256">
        <v>6</v>
      </c>
      <c r="B71" s="257" t="s">
        <v>380</v>
      </c>
      <c r="C71" s="260">
        <v>210</v>
      </c>
      <c r="D71" s="260">
        <v>154</v>
      </c>
      <c r="E71" s="260">
        <f t="shared" si="8"/>
        <v>-56</v>
      </c>
      <c r="F71" s="259">
        <f t="shared" si="9"/>
        <v>-0.26666666666666666</v>
      </c>
    </row>
    <row r="72" spans="1:6" ht="20.25" customHeight="1" x14ac:dyDescent="0.3">
      <c r="A72" s="256">
        <v>7</v>
      </c>
      <c r="B72" s="257" t="s">
        <v>445</v>
      </c>
      <c r="C72" s="260">
        <v>65</v>
      </c>
      <c r="D72" s="260">
        <v>41</v>
      </c>
      <c r="E72" s="260">
        <f t="shared" si="8"/>
        <v>-24</v>
      </c>
      <c r="F72" s="259">
        <f t="shared" si="9"/>
        <v>-0.36923076923076925</v>
      </c>
    </row>
    <row r="73" spans="1:6" ht="20.25" customHeight="1" x14ac:dyDescent="0.3">
      <c r="A73" s="256">
        <v>8</v>
      </c>
      <c r="B73" s="257" t="s">
        <v>446</v>
      </c>
      <c r="C73" s="260">
        <v>33</v>
      </c>
      <c r="D73" s="260">
        <v>71</v>
      </c>
      <c r="E73" s="260">
        <f t="shared" si="8"/>
        <v>38</v>
      </c>
      <c r="F73" s="259">
        <f t="shared" si="9"/>
        <v>1.1515151515151516</v>
      </c>
    </row>
    <row r="74" spans="1:6" ht="20.25" customHeight="1" x14ac:dyDescent="0.3">
      <c r="A74" s="256">
        <v>9</v>
      </c>
      <c r="B74" s="257" t="s">
        <v>447</v>
      </c>
      <c r="C74" s="260">
        <v>22</v>
      </c>
      <c r="D74" s="260">
        <v>13</v>
      </c>
      <c r="E74" s="260">
        <f t="shared" si="8"/>
        <v>-9</v>
      </c>
      <c r="F74" s="259">
        <f t="shared" si="9"/>
        <v>-0.40909090909090912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1858027</v>
      </c>
      <c r="D75" s="263">
        <f>+D66+D68</f>
        <v>2485081</v>
      </c>
      <c r="E75" s="263">
        <f t="shared" si="8"/>
        <v>627054</v>
      </c>
      <c r="F75" s="264">
        <f t="shared" si="9"/>
        <v>0.33748379329256251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1139587</v>
      </c>
      <c r="D76" s="263">
        <f>+D67+D69</f>
        <v>310117</v>
      </c>
      <c r="E76" s="263">
        <f t="shared" si="8"/>
        <v>-829470</v>
      </c>
      <c r="F76" s="264">
        <f t="shared" si="9"/>
        <v>-0.72786895603407198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59244430</v>
      </c>
      <c r="D92" s="258">
        <v>58962345</v>
      </c>
      <c r="E92" s="258">
        <f t="shared" ref="E92:E102" si="12">D92-C92</f>
        <v>-282085</v>
      </c>
      <c r="F92" s="259">
        <f t="shared" ref="F92:F102" si="13">IF(C92=0,0,E92/C92)</f>
        <v>-4.7613758795552593E-3</v>
      </c>
    </row>
    <row r="93" spans="1:6" ht="20.25" customHeight="1" x14ac:dyDescent="0.3">
      <c r="A93" s="256">
        <v>2</v>
      </c>
      <c r="B93" s="257" t="s">
        <v>442</v>
      </c>
      <c r="C93" s="258">
        <v>11128395</v>
      </c>
      <c r="D93" s="258">
        <v>15054225</v>
      </c>
      <c r="E93" s="258">
        <f t="shared" si="12"/>
        <v>3925830</v>
      </c>
      <c r="F93" s="259">
        <f t="shared" si="13"/>
        <v>0.3527759393874858</v>
      </c>
    </row>
    <row r="94" spans="1:6" ht="20.25" customHeight="1" x14ac:dyDescent="0.3">
      <c r="A94" s="256">
        <v>3</v>
      </c>
      <c r="B94" s="257" t="s">
        <v>443</v>
      </c>
      <c r="C94" s="258">
        <v>19536611</v>
      </c>
      <c r="D94" s="258">
        <v>27090787</v>
      </c>
      <c r="E94" s="258">
        <f t="shared" si="12"/>
        <v>7554176</v>
      </c>
      <c r="F94" s="259">
        <f t="shared" si="13"/>
        <v>0.38666767741856556</v>
      </c>
    </row>
    <row r="95" spans="1:6" ht="20.25" customHeight="1" x14ac:dyDescent="0.3">
      <c r="A95" s="256">
        <v>4</v>
      </c>
      <c r="B95" s="257" t="s">
        <v>444</v>
      </c>
      <c r="C95" s="258">
        <v>4530798</v>
      </c>
      <c r="D95" s="258">
        <v>5103507</v>
      </c>
      <c r="E95" s="258">
        <f t="shared" si="12"/>
        <v>572709</v>
      </c>
      <c r="F95" s="259">
        <f t="shared" si="13"/>
        <v>0.12640356069725467</v>
      </c>
    </row>
    <row r="96" spans="1:6" ht="20.25" customHeight="1" x14ac:dyDescent="0.3">
      <c r="A96" s="256">
        <v>5</v>
      </c>
      <c r="B96" s="257" t="s">
        <v>381</v>
      </c>
      <c r="C96" s="260">
        <v>1143</v>
      </c>
      <c r="D96" s="260">
        <v>1043</v>
      </c>
      <c r="E96" s="260">
        <f t="shared" si="12"/>
        <v>-100</v>
      </c>
      <c r="F96" s="259">
        <f t="shared" si="13"/>
        <v>-8.7489063867016617E-2</v>
      </c>
    </row>
    <row r="97" spans="1:6" ht="20.25" customHeight="1" x14ac:dyDescent="0.3">
      <c r="A97" s="256">
        <v>6</v>
      </c>
      <c r="B97" s="257" t="s">
        <v>380</v>
      </c>
      <c r="C97" s="260">
        <v>7343</v>
      </c>
      <c r="D97" s="260">
        <v>6122</v>
      </c>
      <c r="E97" s="260">
        <f t="shared" si="12"/>
        <v>-1221</v>
      </c>
      <c r="F97" s="259">
        <f t="shared" si="13"/>
        <v>-0.16628081165736075</v>
      </c>
    </row>
    <row r="98" spans="1:6" ht="20.25" customHeight="1" x14ac:dyDescent="0.3">
      <c r="A98" s="256">
        <v>7</v>
      </c>
      <c r="B98" s="257" t="s">
        <v>445</v>
      </c>
      <c r="C98" s="260">
        <v>2878</v>
      </c>
      <c r="D98" s="260">
        <v>4462</v>
      </c>
      <c r="E98" s="260">
        <f t="shared" si="12"/>
        <v>1584</v>
      </c>
      <c r="F98" s="259">
        <f t="shared" si="13"/>
        <v>0.55038220986796382</v>
      </c>
    </row>
    <row r="99" spans="1:6" ht="20.25" customHeight="1" x14ac:dyDescent="0.3">
      <c r="A99" s="256">
        <v>8</v>
      </c>
      <c r="B99" s="257" t="s">
        <v>446</v>
      </c>
      <c r="C99" s="260">
        <v>1314</v>
      </c>
      <c r="D99" s="260">
        <v>1520</v>
      </c>
      <c r="E99" s="260">
        <f t="shared" si="12"/>
        <v>206</v>
      </c>
      <c r="F99" s="259">
        <f t="shared" si="13"/>
        <v>0.15677321156773211</v>
      </c>
    </row>
    <row r="100" spans="1:6" ht="20.25" customHeight="1" x14ac:dyDescent="0.3">
      <c r="A100" s="256">
        <v>9</v>
      </c>
      <c r="B100" s="257" t="s">
        <v>447</v>
      </c>
      <c r="C100" s="260">
        <v>979</v>
      </c>
      <c r="D100" s="260">
        <v>871</v>
      </c>
      <c r="E100" s="260">
        <f t="shared" si="12"/>
        <v>-108</v>
      </c>
      <c r="F100" s="259">
        <f t="shared" si="13"/>
        <v>-0.11031664964249234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78781041</v>
      </c>
      <c r="D101" s="263">
        <f>+D92+D94</f>
        <v>86053132</v>
      </c>
      <c r="E101" s="263">
        <f t="shared" si="12"/>
        <v>7272091</v>
      </c>
      <c r="F101" s="264">
        <f t="shared" si="13"/>
        <v>9.2307627668946388E-2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15659193</v>
      </c>
      <c r="D102" s="263">
        <f>+D93+D95</f>
        <v>20157732</v>
      </c>
      <c r="E102" s="263">
        <f t="shared" si="12"/>
        <v>4498539</v>
      </c>
      <c r="F102" s="264">
        <f t="shared" si="13"/>
        <v>0.2872778309840105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17597137</v>
      </c>
      <c r="D105" s="258">
        <v>14561731</v>
      </c>
      <c r="E105" s="258">
        <f t="shared" ref="E105:E115" si="14">D105-C105</f>
        <v>-3035406</v>
      </c>
      <c r="F105" s="259">
        <f t="shared" ref="F105:F115" si="15">IF(C105=0,0,E105/C105)</f>
        <v>-0.17249430972776991</v>
      </c>
    </row>
    <row r="106" spans="1:6" ht="20.25" customHeight="1" x14ac:dyDescent="0.3">
      <c r="A106" s="256">
        <v>2</v>
      </c>
      <c r="B106" s="257" t="s">
        <v>442</v>
      </c>
      <c r="C106" s="258">
        <v>6011474</v>
      </c>
      <c r="D106" s="258">
        <v>3129893</v>
      </c>
      <c r="E106" s="258">
        <f t="shared" si="14"/>
        <v>-2881581</v>
      </c>
      <c r="F106" s="259">
        <f t="shared" si="15"/>
        <v>-0.47934682908052167</v>
      </c>
    </row>
    <row r="107" spans="1:6" ht="20.25" customHeight="1" x14ac:dyDescent="0.3">
      <c r="A107" s="256">
        <v>3</v>
      </c>
      <c r="B107" s="257" t="s">
        <v>443</v>
      </c>
      <c r="C107" s="258">
        <v>7757926</v>
      </c>
      <c r="D107" s="258">
        <v>7707599</v>
      </c>
      <c r="E107" s="258">
        <f t="shared" si="14"/>
        <v>-50327</v>
      </c>
      <c r="F107" s="259">
        <f t="shared" si="15"/>
        <v>-6.4871719580722994E-3</v>
      </c>
    </row>
    <row r="108" spans="1:6" ht="20.25" customHeight="1" x14ac:dyDescent="0.3">
      <c r="A108" s="256">
        <v>4</v>
      </c>
      <c r="B108" s="257" t="s">
        <v>444</v>
      </c>
      <c r="C108" s="258">
        <v>1775757</v>
      </c>
      <c r="D108" s="258">
        <v>1576218</v>
      </c>
      <c r="E108" s="258">
        <f t="shared" si="14"/>
        <v>-199539</v>
      </c>
      <c r="F108" s="259">
        <f t="shared" si="15"/>
        <v>-0.11236841527303566</v>
      </c>
    </row>
    <row r="109" spans="1:6" ht="20.25" customHeight="1" x14ac:dyDescent="0.3">
      <c r="A109" s="256">
        <v>5</v>
      </c>
      <c r="B109" s="257" t="s">
        <v>381</v>
      </c>
      <c r="C109" s="260">
        <v>302</v>
      </c>
      <c r="D109" s="260">
        <v>203</v>
      </c>
      <c r="E109" s="260">
        <f t="shared" si="14"/>
        <v>-99</v>
      </c>
      <c r="F109" s="259">
        <f t="shared" si="15"/>
        <v>-0.32781456953642385</v>
      </c>
    </row>
    <row r="110" spans="1:6" ht="20.25" customHeight="1" x14ac:dyDescent="0.3">
      <c r="A110" s="256">
        <v>6</v>
      </c>
      <c r="B110" s="257" t="s">
        <v>380</v>
      </c>
      <c r="C110" s="260">
        <v>2649</v>
      </c>
      <c r="D110" s="260">
        <v>1720</v>
      </c>
      <c r="E110" s="260">
        <f t="shared" si="14"/>
        <v>-929</v>
      </c>
      <c r="F110" s="259">
        <f t="shared" si="15"/>
        <v>-0.35069837674594184</v>
      </c>
    </row>
    <row r="111" spans="1:6" ht="20.25" customHeight="1" x14ac:dyDescent="0.3">
      <c r="A111" s="256">
        <v>7</v>
      </c>
      <c r="B111" s="257" t="s">
        <v>445</v>
      </c>
      <c r="C111" s="260">
        <v>1278</v>
      </c>
      <c r="D111" s="260">
        <v>1582</v>
      </c>
      <c r="E111" s="260">
        <f t="shared" si="14"/>
        <v>304</v>
      </c>
      <c r="F111" s="259">
        <f t="shared" si="15"/>
        <v>0.23787167449139279</v>
      </c>
    </row>
    <row r="112" spans="1:6" ht="20.25" customHeight="1" x14ac:dyDescent="0.3">
      <c r="A112" s="256">
        <v>8</v>
      </c>
      <c r="B112" s="257" t="s">
        <v>446</v>
      </c>
      <c r="C112" s="260">
        <v>742</v>
      </c>
      <c r="D112" s="260">
        <v>696</v>
      </c>
      <c r="E112" s="260">
        <f t="shared" si="14"/>
        <v>-46</v>
      </c>
      <c r="F112" s="259">
        <f t="shared" si="15"/>
        <v>-6.1994609164420483E-2</v>
      </c>
    </row>
    <row r="113" spans="1:6" ht="20.25" customHeight="1" x14ac:dyDescent="0.3">
      <c r="A113" s="256">
        <v>9</v>
      </c>
      <c r="B113" s="257" t="s">
        <v>447</v>
      </c>
      <c r="C113" s="260">
        <v>265</v>
      </c>
      <c r="D113" s="260">
        <v>178</v>
      </c>
      <c r="E113" s="260">
        <f t="shared" si="14"/>
        <v>-87</v>
      </c>
      <c r="F113" s="259">
        <f t="shared" si="15"/>
        <v>-0.32830188679245281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25355063</v>
      </c>
      <c r="D114" s="263">
        <f>+D105+D107</f>
        <v>22269330</v>
      </c>
      <c r="E114" s="263">
        <f t="shared" si="14"/>
        <v>-3085733</v>
      </c>
      <c r="F114" s="264">
        <f t="shared" si="15"/>
        <v>-0.12170086108640314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7787231</v>
      </c>
      <c r="D115" s="263">
        <f>+D106+D108</f>
        <v>4706111</v>
      </c>
      <c r="E115" s="263">
        <f t="shared" si="14"/>
        <v>-3081120</v>
      </c>
      <c r="F115" s="264">
        <f t="shared" si="15"/>
        <v>-0.3956631054093554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19187520</v>
      </c>
      <c r="D118" s="258">
        <v>18733472</v>
      </c>
      <c r="E118" s="258">
        <f t="shared" ref="E118:E128" si="16">D118-C118</f>
        <v>-454048</v>
      </c>
      <c r="F118" s="259">
        <f t="shared" ref="F118:F128" si="17">IF(C118=0,0,E118/C118)</f>
        <v>-2.3663714747919482E-2</v>
      </c>
    </row>
    <row r="119" spans="1:6" ht="20.25" customHeight="1" x14ac:dyDescent="0.3">
      <c r="A119" s="256">
        <v>2</v>
      </c>
      <c r="B119" s="257" t="s">
        <v>442</v>
      </c>
      <c r="C119" s="258">
        <v>2650772</v>
      </c>
      <c r="D119" s="258">
        <v>4558295</v>
      </c>
      <c r="E119" s="258">
        <f t="shared" si="16"/>
        <v>1907523</v>
      </c>
      <c r="F119" s="259">
        <f t="shared" si="17"/>
        <v>0.71961036256607513</v>
      </c>
    </row>
    <row r="120" spans="1:6" ht="20.25" customHeight="1" x14ac:dyDescent="0.3">
      <c r="A120" s="256">
        <v>3</v>
      </c>
      <c r="B120" s="257" t="s">
        <v>443</v>
      </c>
      <c r="C120" s="258">
        <v>8840081</v>
      </c>
      <c r="D120" s="258">
        <v>9691315</v>
      </c>
      <c r="E120" s="258">
        <f t="shared" si="16"/>
        <v>851234</v>
      </c>
      <c r="F120" s="259">
        <f t="shared" si="17"/>
        <v>9.6292556595352463E-2</v>
      </c>
    </row>
    <row r="121" spans="1:6" ht="20.25" customHeight="1" x14ac:dyDescent="0.3">
      <c r="A121" s="256">
        <v>4</v>
      </c>
      <c r="B121" s="257" t="s">
        <v>444</v>
      </c>
      <c r="C121" s="258">
        <v>2106854</v>
      </c>
      <c r="D121" s="258">
        <v>1990462</v>
      </c>
      <c r="E121" s="258">
        <f t="shared" si="16"/>
        <v>-116392</v>
      </c>
      <c r="F121" s="259">
        <f t="shared" si="17"/>
        <v>-5.5244454527935964E-2</v>
      </c>
    </row>
    <row r="122" spans="1:6" ht="20.25" customHeight="1" x14ac:dyDescent="0.3">
      <c r="A122" s="256">
        <v>5</v>
      </c>
      <c r="B122" s="257" t="s">
        <v>381</v>
      </c>
      <c r="C122" s="260">
        <v>342</v>
      </c>
      <c r="D122" s="260">
        <v>292</v>
      </c>
      <c r="E122" s="260">
        <f t="shared" si="16"/>
        <v>-50</v>
      </c>
      <c r="F122" s="259">
        <f t="shared" si="17"/>
        <v>-0.14619883040935672</v>
      </c>
    </row>
    <row r="123" spans="1:6" ht="20.25" customHeight="1" x14ac:dyDescent="0.3">
      <c r="A123" s="256">
        <v>6</v>
      </c>
      <c r="B123" s="257" t="s">
        <v>380</v>
      </c>
      <c r="C123" s="260">
        <v>2322</v>
      </c>
      <c r="D123" s="260">
        <v>1623</v>
      </c>
      <c r="E123" s="260">
        <f t="shared" si="16"/>
        <v>-699</v>
      </c>
      <c r="F123" s="259">
        <f t="shared" si="17"/>
        <v>-0.30103359173126615</v>
      </c>
    </row>
    <row r="124" spans="1:6" ht="20.25" customHeight="1" x14ac:dyDescent="0.3">
      <c r="A124" s="256">
        <v>7</v>
      </c>
      <c r="B124" s="257" t="s">
        <v>445</v>
      </c>
      <c r="C124" s="260">
        <v>1377</v>
      </c>
      <c r="D124" s="260">
        <v>1771</v>
      </c>
      <c r="E124" s="260">
        <f t="shared" si="16"/>
        <v>394</v>
      </c>
      <c r="F124" s="259">
        <f t="shared" si="17"/>
        <v>0.2861292665214234</v>
      </c>
    </row>
    <row r="125" spans="1:6" ht="20.25" customHeight="1" x14ac:dyDescent="0.3">
      <c r="A125" s="256">
        <v>8</v>
      </c>
      <c r="B125" s="257" t="s">
        <v>446</v>
      </c>
      <c r="C125" s="260">
        <v>372</v>
      </c>
      <c r="D125" s="260">
        <v>473</v>
      </c>
      <c r="E125" s="260">
        <f t="shared" si="16"/>
        <v>101</v>
      </c>
      <c r="F125" s="259">
        <f t="shared" si="17"/>
        <v>0.271505376344086</v>
      </c>
    </row>
    <row r="126" spans="1:6" ht="20.25" customHeight="1" x14ac:dyDescent="0.3">
      <c r="A126" s="256">
        <v>9</v>
      </c>
      <c r="B126" s="257" t="s">
        <v>447</v>
      </c>
      <c r="C126" s="260">
        <v>267</v>
      </c>
      <c r="D126" s="260">
        <v>232</v>
      </c>
      <c r="E126" s="260">
        <f t="shared" si="16"/>
        <v>-35</v>
      </c>
      <c r="F126" s="259">
        <f t="shared" si="17"/>
        <v>-0.13108614232209737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28027601</v>
      </c>
      <c r="D127" s="263">
        <f>+D118+D120</f>
        <v>28424787</v>
      </c>
      <c r="E127" s="263">
        <f t="shared" si="16"/>
        <v>397186</v>
      </c>
      <c r="F127" s="264">
        <f t="shared" si="17"/>
        <v>1.4171244980974291E-2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4757626</v>
      </c>
      <c r="D128" s="263">
        <f>+D119+D121</f>
        <v>6548757</v>
      </c>
      <c r="E128" s="263">
        <f t="shared" si="16"/>
        <v>1791131</v>
      </c>
      <c r="F128" s="264">
        <f t="shared" si="17"/>
        <v>0.37647578855504826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805049</v>
      </c>
      <c r="D131" s="258">
        <v>1206697</v>
      </c>
      <c r="E131" s="258">
        <f t="shared" ref="E131:E141" si="18">D131-C131</f>
        <v>401648</v>
      </c>
      <c r="F131" s="259">
        <f t="shared" ref="F131:F141" si="19">IF(C131=0,0,E131/C131)</f>
        <v>0.49891124639618212</v>
      </c>
    </row>
    <row r="132" spans="1:6" ht="20.25" customHeight="1" x14ac:dyDescent="0.3">
      <c r="A132" s="256">
        <v>2</v>
      </c>
      <c r="B132" s="257" t="s">
        <v>442</v>
      </c>
      <c r="C132" s="258">
        <v>353168</v>
      </c>
      <c r="D132" s="258">
        <v>291918</v>
      </c>
      <c r="E132" s="258">
        <f t="shared" si="18"/>
        <v>-61250</v>
      </c>
      <c r="F132" s="259">
        <f t="shared" si="19"/>
        <v>-0.17343020885244417</v>
      </c>
    </row>
    <row r="133" spans="1:6" ht="20.25" customHeight="1" x14ac:dyDescent="0.3">
      <c r="A133" s="256">
        <v>3</v>
      </c>
      <c r="B133" s="257" t="s">
        <v>443</v>
      </c>
      <c r="C133" s="258">
        <v>288567</v>
      </c>
      <c r="D133" s="258">
        <v>284565</v>
      </c>
      <c r="E133" s="258">
        <f t="shared" si="18"/>
        <v>-4002</v>
      </c>
      <c r="F133" s="259">
        <f t="shared" si="19"/>
        <v>-1.3868529665554274E-2</v>
      </c>
    </row>
    <row r="134" spans="1:6" ht="20.25" customHeight="1" x14ac:dyDescent="0.3">
      <c r="A134" s="256">
        <v>4</v>
      </c>
      <c r="B134" s="257" t="s">
        <v>444</v>
      </c>
      <c r="C134" s="258">
        <v>126714</v>
      </c>
      <c r="D134" s="258">
        <v>63774</v>
      </c>
      <c r="E134" s="258">
        <f t="shared" si="18"/>
        <v>-62940</v>
      </c>
      <c r="F134" s="259">
        <f t="shared" si="19"/>
        <v>-0.49670912448506083</v>
      </c>
    </row>
    <row r="135" spans="1:6" ht="20.25" customHeight="1" x14ac:dyDescent="0.3">
      <c r="A135" s="256">
        <v>5</v>
      </c>
      <c r="B135" s="257" t="s">
        <v>381</v>
      </c>
      <c r="C135" s="260">
        <v>13</v>
      </c>
      <c r="D135" s="260">
        <v>14</v>
      </c>
      <c r="E135" s="260">
        <f t="shared" si="18"/>
        <v>1</v>
      </c>
      <c r="F135" s="259">
        <f t="shared" si="19"/>
        <v>7.6923076923076927E-2</v>
      </c>
    </row>
    <row r="136" spans="1:6" ht="20.25" customHeight="1" x14ac:dyDescent="0.3">
      <c r="A136" s="256">
        <v>6</v>
      </c>
      <c r="B136" s="257" t="s">
        <v>380</v>
      </c>
      <c r="C136" s="260">
        <v>91</v>
      </c>
      <c r="D136" s="260">
        <v>130</v>
      </c>
      <c r="E136" s="260">
        <f t="shared" si="18"/>
        <v>39</v>
      </c>
      <c r="F136" s="259">
        <f t="shared" si="19"/>
        <v>0.42857142857142855</v>
      </c>
    </row>
    <row r="137" spans="1:6" ht="20.25" customHeight="1" x14ac:dyDescent="0.3">
      <c r="A137" s="256">
        <v>7</v>
      </c>
      <c r="B137" s="257" t="s">
        <v>445</v>
      </c>
      <c r="C137" s="260">
        <v>49</v>
      </c>
      <c r="D137" s="260">
        <v>90</v>
      </c>
      <c r="E137" s="260">
        <f t="shared" si="18"/>
        <v>41</v>
      </c>
      <c r="F137" s="259">
        <f t="shared" si="19"/>
        <v>0.83673469387755106</v>
      </c>
    </row>
    <row r="138" spans="1:6" ht="20.25" customHeight="1" x14ac:dyDescent="0.3">
      <c r="A138" s="256">
        <v>8</v>
      </c>
      <c r="B138" s="257" t="s">
        <v>446</v>
      </c>
      <c r="C138" s="260">
        <v>22</v>
      </c>
      <c r="D138" s="260">
        <v>26</v>
      </c>
      <c r="E138" s="260">
        <f t="shared" si="18"/>
        <v>4</v>
      </c>
      <c r="F138" s="259">
        <f t="shared" si="19"/>
        <v>0.18181818181818182</v>
      </c>
    </row>
    <row r="139" spans="1:6" ht="20.25" customHeight="1" x14ac:dyDescent="0.3">
      <c r="A139" s="256">
        <v>9</v>
      </c>
      <c r="B139" s="257" t="s">
        <v>447</v>
      </c>
      <c r="C139" s="260">
        <v>9</v>
      </c>
      <c r="D139" s="260">
        <v>13</v>
      </c>
      <c r="E139" s="260">
        <f t="shared" si="18"/>
        <v>4</v>
      </c>
      <c r="F139" s="259">
        <f t="shared" si="19"/>
        <v>0.44444444444444442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1093616</v>
      </c>
      <c r="D140" s="263">
        <f>+D131+D133</f>
        <v>1491262</v>
      </c>
      <c r="E140" s="263">
        <f t="shared" si="18"/>
        <v>397646</v>
      </c>
      <c r="F140" s="264">
        <f t="shared" si="19"/>
        <v>0.36360660414624513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479882</v>
      </c>
      <c r="D141" s="263">
        <f>+D132+D134</f>
        <v>355692</v>
      </c>
      <c r="E141" s="263">
        <f t="shared" si="18"/>
        <v>-124190</v>
      </c>
      <c r="F141" s="264">
        <f t="shared" si="19"/>
        <v>-0.25879278656002935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198775</v>
      </c>
      <c r="D183" s="258">
        <v>77811</v>
      </c>
      <c r="E183" s="258">
        <f t="shared" ref="E183:E193" si="26">D183-C183</f>
        <v>-120964</v>
      </c>
      <c r="F183" s="259">
        <f t="shared" ref="F183:F193" si="27">IF(C183=0,0,E183/C183)</f>
        <v>-0.60854735253427239</v>
      </c>
    </row>
    <row r="184" spans="1:6" ht="20.25" customHeight="1" x14ac:dyDescent="0.3">
      <c r="A184" s="256">
        <v>2</v>
      </c>
      <c r="B184" s="257" t="s">
        <v>442</v>
      </c>
      <c r="C184" s="258">
        <v>93344</v>
      </c>
      <c r="D184" s="258">
        <v>4073</v>
      </c>
      <c r="E184" s="258">
        <f t="shared" si="26"/>
        <v>-89271</v>
      </c>
      <c r="F184" s="259">
        <f t="shared" si="27"/>
        <v>-0.95636570106273566</v>
      </c>
    </row>
    <row r="185" spans="1:6" ht="20.25" customHeight="1" x14ac:dyDescent="0.3">
      <c r="A185" s="256">
        <v>3</v>
      </c>
      <c r="B185" s="257" t="s">
        <v>443</v>
      </c>
      <c r="C185" s="258">
        <v>55102</v>
      </c>
      <c r="D185" s="258">
        <v>6546</v>
      </c>
      <c r="E185" s="258">
        <f t="shared" si="26"/>
        <v>-48556</v>
      </c>
      <c r="F185" s="259">
        <f t="shared" si="27"/>
        <v>-0.88120213422380311</v>
      </c>
    </row>
    <row r="186" spans="1:6" ht="20.25" customHeight="1" x14ac:dyDescent="0.3">
      <c r="A186" s="256">
        <v>4</v>
      </c>
      <c r="B186" s="257" t="s">
        <v>444</v>
      </c>
      <c r="C186" s="258">
        <v>18388</v>
      </c>
      <c r="D186" s="258">
        <v>1805</v>
      </c>
      <c r="E186" s="258">
        <f t="shared" si="26"/>
        <v>-16583</v>
      </c>
      <c r="F186" s="259">
        <f t="shared" si="27"/>
        <v>-0.90183815531868605</v>
      </c>
    </row>
    <row r="187" spans="1:6" ht="20.25" customHeight="1" x14ac:dyDescent="0.3">
      <c r="A187" s="256">
        <v>5</v>
      </c>
      <c r="B187" s="257" t="s">
        <v>381</v>
      </c>
      <c r="C187" s="260">
        <v>3</v>
      </c>
      <c r="D187" s="260">
        <v>1</v>
      </c>
      <c r="E187" s="260">
        <f t="shared" si="26"/>
        <v>-2</v>
      </c>
      <c r="F187" s="259">
        <f t="shared" si="27"/>
        <v>-0.66666666666666663</v>
      </c>
    </row>
    <row r="188" spans="1:6" ht="20.25" customHeight="1" x14ac:dyDescent="0.3">
      <c r="A188" s="256">
        <v>6</v>
      </c>
      <c r="B188" s="257" t="s">
        <v>380</v>
      </c>
      <c r="C188" s="260">
        <v>16</v>
      </c>
      <c r="D188" s="260">
        <v>5</v>
      </c>
      <c r="E188" s="260">
        <f t="shared" si="26"/>
        <v>-11</v>
      </c>
      <c r="F188" s="259">
        <f t="shared" si="27"/>
        <v>-0.6875</v>
      </c>
    </row>
    <row r="189" spans="1:6" ht="20.25" customHeight="1" x14ac:dyDescent="0.3">
      <c r="A189" s="256">
        <v>7</v>
      </c>
      <c r="B189" s="257" t="s">
        <v>445</v>
      </c>
      <c r="C189" s="260">
        <v>7</v>
      </c>
      <c r="D189" s="260">
        <v>0</v>
      </c>
      <c r="E189" s="260">
        <f t="shared" si="26"/>
        <v>-7</v>
      </c>
      <c r="F189" s="259">
        <f t="shared" si="27"/>
        <v>-1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1</v>
      </c>
      <c r="E190" s="260">
        <f t="shared" si="26"/>
        <v>1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3</v>
      </c>
      <c r="D191" s="260">
        <v>1</v>
      </c>
      <c r="E191" s="260">
        <f t="shared" si="26"/>
        <v>-2</v>
      </c>
      <c r="F191" s="259">
        <f t="shared" si="27"/>
        <v>-0.66666666666666663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253877</v>
      </c>
      <c r="D192" s="263">
        <f>+D183+D185</f>
        <v>84357</v>
      </c>
      <c r="E192" s="263">
        <f t="shared" si="26"/>
        <v>-169520</v>
      </c>
      <c r="F192" s="264">
        <f t="shared" si="27"/>
        <v>-0.66772492191100419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111732</v>
      </c>
      <c r="D193" s="263">
        <f>+D184+D186</f>
        <v>5878</v>
      </c>
      <c r="E193" s="263">
        <f t="shared" si="26"/>
        <v>-105854</v>
      </c>
      <c r="F193" s="264">
        <f t="shared" si="27"/>
        <v>-0.94739197365123684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132246754</v>
      </c>
      <c r="D198" s="263">
        <f t="shared" si="28"/>
        <v>135997715</v>
      </c>
      <c r="E198" s="263">
        <f t="shared" ref="E198:E208" si="29">D198-C198</f>
        <v>3750961</v>
      </c>
      <c r="F198" s="273">
        <f t="shared" ref="F198:F208" si="30">IF(C198=0,0,E198/C198)</f>
        <v>2.8363350226350358E-2</v>
      </c>
    </row>
    <row r="199" spans="1:9" ht="20.25" customHeight="1" x14ac:dyDescent="0.3">
      <c r="A199" s="271"/>
      <c r="B199" s="272" t="s">
        <v>466</v>
      </c>
      <c r="C199" s="263">
        <f t="shared" si="28"/>
        <v>29086807</v>
      </c>
      <c r="D199" s="263">
        <f t="shared" si="28"/>
        <v>32947485</v>
      </c>
      <c r="E199" s="263">
        <f t="shared" si="29"/>
        <v>3860678</v>
      </c>
      <c r="F199" s="273">
        <f t="shared" si="30"/>
        <v>0.13272952235699162</v>
      </c>
    </row>
    <row r="200" spans="1:9" ht="20.25" customHeight="1" x14ac:dyDescent="0.3">
      <c r="A200" s="271"/>
      <c r="B200" s="272" t="s">
        <v>467</v>
      </c>
      <c r="C200" s="263">
        <f t="shared" si="28"/>
        <v>52117456</v>
      </c>
      <c r="D200" s="263">
        <f t="shared" si="28"/>
        <v>65596053</v>
      </c>
      <c r="E200" s="263">
        <f t="shared" si="29"/>
        <v>13478597</v>
      </c>
      <c r="F200" s="273">
        <f t="shared" si="30"/>
        <v>0.25861962640693742</v>
      </c>
    </row>
    <row r="201" spans="1:9" ht="20.25" customHeight="1" x14ac:dyDescent="0.3">
      <c r="A201" s="271"/>
      <c r="B201" s="272" t="s">
        <v>468</v>
      </c>
      <c r="C201" s="263">
        <f t="shared" si="28"/>
        <v>12956316</v>
      </c>
      <c r="D201" s="263">
        <f t="shared" si="28"/>
        <v>12674437</v>
      </c>
      <c r="E201" s="263">
        <f t="shared" si="29"/>
        <v>-281879</v>
      </c>
      <c r="F201" s="273">
        <f t="shared" si="30"/>
        <v>-2.1756107214427309E-2</v>
      </c>
    </row>
    <row r="202" spans="1:9" ht="20.25" customHeight="1" x14ac:dyDescent="0.3">
      <c r="A202" s="271"/>
      <c r="B202" s="272" t="s">
        <v>138</v>
      </c>
      <c r="C202" s="274">
        <f t="shared" si="28"/>
        <v>2431</v>
      </c>
      <c r="D202" s="274">
        <f t="shared" si="28"/>
        <v>2222</v>
      </c>
      <c r="E202" s="274">
        <f t="shared" si="29"/>
        <v>-209</v>
      </c>
      <c r="F202" s="273">
        <f t="shared" si="30"/>
        <v>-8.5972850678733032E-2</v>
      </c>
    </row>
    <row r="203" spans="1:9" ht="20.25" customHeight="1" x14ac:dyDescent="0.3">
      <c r="A203" s="271"/>
      <c r="B203" s="272" t="s">
        <v>140</v>
      </c>
      <c r="C203" s="274">
        <f t="shared" si="28"/>
        <v>15967</v>
      </c>
      <c r="D203" s="274">
        <f t="shared" si="28"/>
        <v>13561</v>
      </c>
      <c r="E203" s="274">
        <f t="shared" si="29"/>
        <v>-2406</v>
      </c>
      <c r="F203" s="273">
        <f t="shared" si="30"/>
        <v>-0.1506857894407215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8041</v>
      </c>
      <c r="D204" s="274">
        <f t="shared" si="28"/>
        <v>11416</v>
      </c>
      <c r="E204" s="274">
        <f t="shared" si="29"/>
        <v>3375</v>
      </c>
      <c r="F204" s="273">
        <f t="shared" si="30"/>
        <v>0.41972391493595324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3102</v>
      </c>
      <c r="D205" s="274">
        <f t="shared" si="28"/>
        <v>3793</v>
      </c>
      <c r="E205" s="274">
        <f t="shared" si="29"/>
        <v>691</v>
      </c>
      <c r="F205" s="273">
        <f t="shared" si="30"/>
        <v>0.22275950999355254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2018</v>
      </c>
      <c r="D206" s="274">
        <f t="shared" si="28"/>
        <v>1838</v>
      </c>
      <c r="E206" s="274">
        <f t="shared" si="29"/>
        <v>-180</v>
      </c>
      <c r="F206" s="273">
        <f t="shared" si="30"/>
        <v>-8.9197224975222991E-2</v>
      </c>
    </row>
    <row r="207" spans="1:9" ht="20.25" customHeight="1" x14ac:dyDescent="0.3">
      <c r="A207" s="271"/>
      <c r="B207" s="262" t="s">
        <v>471</v>
      </c>
      <c r="C207" s="263">
        <f>+C198+C200</f>
        <v>184364210</v>
      </c>
      <c r="D207" s="263">
        <f>+D198+D200</f>
        <v>201593768</v>
      </c>
      <c r="E207" s="263">
        <f t="shared" si="29"/>
        <v>17229558</v>
      </c>
      <c r="F207" s="273">
        <f t="shared" si="30"/>
        <v>9.3453919282923736E-2</v>
      </c>
    </row>
    <row r="208" spans="1:9" ht="20.25" customHeight="1" x14ac:dyDescent="0.3">
      <c r="A208" s="271"/>
      <c r="B208" s="262" t="s">
        <v>472</v>
      </c>
      <c r="C208" s="263">
        <f>+C199+C201</f>
        <v>42043123</v>
      </c>
      <c r="D208" s="263">
        <f>+D199+D201</f>
        <v>45621922</v>
      </c>
      <c r="E208" s="263">
        <f t="shared" si="29"/>
        <v>3578799</v>
      </c>
      <c r="F208" s="273">
        <f t="shared" si="30"/>
        <v>8.5122101895237418E-2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FILING&amp;RSAINT VINCENT`S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FILING&amp;RSAINT VINCENT`S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7449000</v>
      </c>
      <c r="D13" s="22">
        <v>6656000</v>
      </c>
      <c r="E13" s="22">
        <f t="shared" ref="E13:E22" si="0">D13-C13</f>
        <v>-793000</v>
      </c>
      <c r="F13" s="306">
        <f t="shared" ref="F13:F22" si="1">IF(C13=0,0,E13/C13)</f>
        <v>-0.10645724258289703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70492000</v>
      </c>
      <c r="D15" s="22">
        <v>46108000</v>
      </c>
      <c r="E15" s="22">
        <f t="shared" si="0"/>
        <v>-24384000</v>
      </c>
      <c r="F15" s="306">
        <f t="shared" si="1"/>
        <v>-0.34591159280485728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4341000</v>
      </c>
      <c r="D19" s="22">
        <v>4227000</v>
      </c>
      <c r="E19" s="22">
        <f t="shared" si="0"/>
        <v>-114000</v>
      </c>
      <c r="F19" s="306">
        <f t="shared" si="1"/>
        <v>-2.626123013130615E-2</v>
      </c>
    </row>
    <row r="20" spans="1:11" ht="24" customHeight="1" x14ac:dyDescent="0.2">
      <c r="A20" s="304">
        <v>8</v>
      </c>
      <c r="B20" s="305" t="s">
        <v>23</v>
      </c>
      <c r="C20" s="22">
        <v>3448000</v>
      </c>
      <c r="D20" s="22">
        <v>2447000</v>
      </c>
      <c r="E20" s="22">
        <f t="shared" si="0"/>
        <v>-1001000</v>
      </c>
      <c r="F20" s="306">
        <f t="shared" si="1"/>
        <v>-0.29031322505800466</v>
      </c>
    </row>
    <row r="21" spans="1:11" ht="24" customHeight="1" x14ac:dyDescent="0.2">
      <c r="A21" s="304">
        <v>9</v>
      </c>
      <c r="B21" s="305" t="s">
        <v>24</v>
      </c>
      <c r="C21" s="22">
        <v>10424000</v>
      </c>
      <c r="D21" s="22">
        <v>10675000</v>
      </c>
      <c r="E21" s="22">
        <f t="shared" si="0"/>
        <v>251000</v>
      </c>
      <c r="F21" s="306">
        <f t="shared" si="1"/>
        <v>2.4079048349961628E-2</v>
      </c>
    </row>
    <row r="22" spans="1:11" ht="24" customHeight="1" x14ac:dyDescent="0.25">
      <c r="A22" s="307"/>
      <c r="B22" s="308" t="s">
        <v>25</v>
      </c>
      <c r="C22" s="309">
        <f>SUM(C13:C21)</f>
        <v>96154000</v>
      </c>
      <c r="D22" s="309">
        <f>SUM(D13:D21)</f>
        <v>70113000</v>
      </c>
      <c r="E22" s="309">
        <f t="shared" si="0"/>
        <v>-26041000</v>
      </c>
      <c r="F22" s="310">
        <f t="shared" si="1"/>
        <v>-0.27082596667845332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43113000</v>
      </c>
      <c r="D28" s="22">
        <v>45465000</v>
      </c>
      <c r="E28" s="22">
        <f>D28-C28</f>
        <v>2352000</v>
      </c>
      <c r="F28" s="306">
        <f>IF(C28=0,0,E28/C28)</f>
        <v>5.4554310764734534E-2</v>
      </c>
    </row>
    <row r="29" spans="1:11" ht="35.1" customHeight="1" x14ac:dyDescent="0.25">
      <c r="A29" s="307"/>
      <c r="B29" s="308" t="s">
        <v>32</v>
      </c>
      <c r="C29" s="309">
        <f>SUM(C25:C28)</f>
        <v>43113000</v>
      </c>
      <c r="D29" s="309">
        <f>SUM(D25:D28)</f>
        <v>45465000</v>
      </c>
      <c r="E29" s="309">
        <f>D29-C29</f>
        <v>2352000</v>
      </c>
      <c r="F29" s="310">
        <f>IF(C29=0,0,E29/C29)</f>
        <v>5.4554310764734534E-2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321091000</v>
      </c>
      <c r="D32" s="22">
        <v>38914000</v>
      </c>
      <c r="E32" s="22">
        <f>D32-C32</f>
        <v>-282177000</v>
      </c>
      <c r="F32" s="306">
        <f>IF(C32=0,0,E32/C32)</f>
        <v>-0.8788069425801408</v>
      </c>
    </row>
    <row r="33" spans="1:8" ht="24" customHeight="1" x14ac:dyDescent="0.2">
      <c r="A33" s="304">
        <v>7</v>
      </c>
      <c r="B33" s="305" t="s">
        <v>35</v>
      </c>
      <c r="C33" s="22">
        <v>38923000</v>
      </c>
      <c r="D33" s="22">
        <v>36952000</v>
      </c>
      <c r="E33" s="22">
        <f>D33-C33</f>
        <v>-1971000</v>
      </c>
      <c r="F33" s="306">
        <f>IF(C33=0,0,E33/C33)</f>
        <v>-5.0638439996916987E-2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489801000</v>
      </c>
      <c r="D36" s="22">
        <v>502520000</v>
      </c>
      <c r="E36" s="22">
        <f>D36-C36</f>
        <v>12719000</v>
      </c>
      <c r="F36" s="306">
        <f>IF(C36=0,0,E36/C36)</f>
        <v>2.5967688918560803E-2</v>
      </c>
    </row>
    <row r="37" spans="1:8" ht="24" customHeight="1" x14ac:dyDescent="0.2">
      <c r="A37" s="304">
        <v>2</v>
      </c>
      <c r="B37" s="305" t="s">
        <v>39</v>
      </c>
      <c r="C37" s="22">
        <v>296408000</v>
      </c>
      <c r="D37" s="22">
        <v>317582000</v>
      </c>
      <c r="E37" s="22">
        <f>D37-C37</f>
        <v>21174000</v>
      </c>
      <c r="F37" s="22">
        <f>IF(C37=0,0,E37/C37)</f>
        <v>7.1435318884780441E-2</v>
      </c>
    </row>
    <row r="38" spans="1:8" ht="24" customHeight="1" x14ac:dyDescent="0.25">
      <c r="A38" s="307"/>
      <c r="B38" s="308" t="s">
        <v>40</v>
      </c>
      <c r="C38" s="309">
        <f>C36-C37</f>
        <v>193393000</v>
      </c>
      <c r="D38" s="309">
        <f>D36-D37</f>
        <v>184938000</v>
      </c>
      <c r="E38" s="309">
        <f>D38-C38</f>
        <v>-8455000</v>
      </c>
      <c r="F38" s="310">
        <f>IF(C38=0,0,E38/C38)</f>
        <v>-4.3719265950680736E-2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8634000</v>
      </c>
      <c r="D40" s="22">
        <v>6401000</v>
      </c>
      <c r="E40" s="22">
        <f>D40-C40</f>
        <v>-2233000</v>
      </c>
      <c r="F40" s="306">
        <f>IF(C40=0,0,E40/C40)</f>
        <v>-0.25862867732221451</v>
      </c>
    </row>
    <row r="41" spans="1:8" ht="24" customHeight="1" x14ac:dyDescent="0.25">
      <c r="A41" s="307"/>
      <c r="B41" s="308" t="s">
        <v>42</v>
      </c>
      <c r="C41" s="309">
        <f>+C38+C40</f>
        <v>202027000</v>
      </c>
      <c r="D41" s="309">
        <f>+D38+D40</f>
        <v>191339000</v>
      </c>
      <c r="E41" s="309">
        <f>D41-C41</f>
        <v>-10688000</v>
      </c>
      <c r="F41" s="310">
        <f>IF(C41=0,0,E41/C41)</f>
        <v>-5.2903819786464183E-2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701308000</v>
      </c>
      <c r="D43" s="309">
        <f>D22+D29+D31+D32+D33+D41</f>
        <v>382783000</v>
      </c>
      <c r="E43" s="309">
        <f>D43-C43</f>
        <v>-318525000</v>
      </c>
      <c r="F43" s="310">
        <f>IF(C43=0,0,E43/C43)</f>
        <v>-0.4541870333719279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23542000</v>
      </c>
      <c r="D49" s="22">
        <v>25257000</v>
      </c>
      <c r="E49" s="22">
        <f t="shared" ref="E49:E56" si="2">D49-C49</f>
        <v>1715000</v>
      </c>
      <c r="F49" s="306">
        <f t="shared" ref="F49:F56" si="3">IF(C49=0,0,E49/C49)</f>
        <v>7.2848526038569367E-2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23003000</v>
      </c>
      <c r="D50" s="22">
        <v>18843000</v>
      </c>
      <c r="E50" s="22">
        <f t="shared" si="2"/>
        <v>-4160000</v>
      </c>
      <c r="F50" s="306">
        <f t="shared" si="3"/>
        <v>-0.18084597661174628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9476000</v>
      </c>
      <c r="D51" s="22">
        <v>17909000</v>
      </c>
      <c r="E51" s="22">
        <f t="shared" si="2"/>
        <v>8433000</v>
      </c>
      <c r="F51" s="306">
        <f t="shared" si="3"/>
        <v>0.88993246095398904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4223000</v>
      </c>
      <c r="D52" s="22">
        <v>6305000</v>
      </c>
      <c r="E52" s="22">
        <f t="shared" si="2"/>
        <v>2082000</v>
      </c>
      <c r="F52" s="306">
        <f t="shared" si="3"/>
        <v>0.49301444470755384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1614000</v>
      </c>
      <c r="D53" s="22">
        <v>1500000</v>
      </c>
      <c r="E53" s="22">
        <f t="shared" si="2"/>
        <v>-114000</v>
      </c>
      <c r="F53" s="306">
        <f t="shared" si="3"/>
        <v>-7.0631970260223054E-2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484000</v>
      </c>
      <c r="D55" s="22">
        <v>0</v>
      </c>
      <c r="E55" s="22">
        <f t="shared" si="2"/>
        <v>-484000</v>
      </c>
      <c r="F55" s="306">
        <f t="shared" si="3"/>
        <v>-1</v>
      </c>
    </row>
    <row r="56" spans="1:6" ht="24" customHeight="1" x14ac:dyDescent="0.25">
      <c r="A56" s="307"/>
      <c r="B56" s="308" t="s">
        <v>54</v>
      </c>
      <c r="C56" s="309">
        <f>SUM(C49:C55)</f>
        <v>62342000</v>
      </c>
      <c r="D56" s="309">
        <f>SUM(D49:D55)</f>
        <v>69814000</v>
      </c>
      <c r="E56" s="309">
        <f t="shared" si="2"/>
        <v>7472000</v>
      </c>
      <c r="F56" s="310">
        <f t="shared" si="3"/>
        <v>0.11985499342337429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54935000</v>
      </c>
      <c r="D59" s="22">
        <v>54346000</v>
      </c>
      <c r="E59" s="22">
        <f>D59-C59</f>
        <v>-589000</v>
      </c>
      <c r="F59" s="306">
        <f>IF(C59=0,0,E59/C59)</f>
        <v>-1.0721762082461091E-2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54935000</v>
      </c>
      <c r="D61" s="309">
        <f>SUM(D59:D60)</f>
        <v>54346000</v>
      </c>
      <c r="E61" s="309">
        <f>D61-C61</f>
        <v>-589000</v>
      </c>
      <c r="F61" s="310">
        <f>IF(C61=0,0,E61/C61)</f>
        <v>-1.0721762082461091E-2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8113000</v>
      </c>
      <c r="D63" s="22">
        <v>23317000</v>
      </c>
      <c r="E63" s="22">
        <f>D63-C63</f>
        <v>15204000</v>
      </c>
      <c r="F63" s="306">
        <f>IF(C63=0,0,E63/C63)</f>
        <v>1.8740293356341673</v>
      </c>
    </row>
    <row r="64" spans="1:6" ht="24" customHeight="1" x14ac:dyDescent="0.2">
      <c r="A64" s="304">
        <v>4</v>
      </c>
      <c r="B64" s="305" t="s">
        <v>60</v>
      </c>
      <c r="C64" s="22">
        <v>14300000</v>
      </c>
      <c r="D64" s="22">
        <v>15694000</v>
      </c>
      <c r="E64" s="22">
        <f>D64-C64</f>
        <v>1394000</v>
      </c>
      <c r="F64" s="306">
        <f>IF(C64=0,0,E64/C64)</f>
        <v>9.7482517482517489E-2</v>
      </c>
    </row>
    <row r="65" spans="1:6" ht="24" customHeight="1" x14ac:dyDescent="0.25">
      <c r="A65" s="307"/>
      <c r="B65" s="308" t="s">
        <v>61</v>
      </c>
      <c r="C65" s="309">
        <f>SUM(C61:C64)</f>
        <v>77348000</v>
      </c>
      <c r="D65" s="309">
        <f>SUM(D61:D64)</f>
        <v>93357000</v>
      </c>
      <c r="E65" s="309">
        <f>D65-C65</f>
        <v>16009000</v>
      </c>
      <c r="F65" s="310">
        <f>IF(C65=0,0,E65/C65)</f>
        <v>0.20697367740600919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533334000</v>
      </c>
      <c r="D70" s="22">
        <v>191357000</v>
      </c>
      <c r="E70" s="22">
        <f>D70-C70</f>
        <v>-341977000</v>
      </c>
      <c r="F70" s="306">
        <f>IF(C70=0,0,E70/C70)</f>
        <v>-0.6412060734924081</v>
      </c>
    </row>
    <row r="71" spans="1:6" ht="24" customHeight="1" x14ac:dyDescent="0.2">
      <c r="A71" s="304">
        <v>2</v>
      </c>
      <c r="B71" s="305" t="s">
        <v>65</v>
      </c>
      <c r="C71" s="22">
        <v>15414000</v>
      </c>
      <c r="D71" s="22">
        <v>15307000</v>
      </c>
      <c r="E71" s="22">
        <f>D71-C71</f>
        <v>-107000</v>
      </c>
      <c r="F71" s="306">
        <f>IF(C71=0,0,E71/C71)</f>
        <v>-6.9417412741663419E-3</v>
      </c>
    </row>
    <row r="72" spans="1:6" ht="24" customHeight="1" x14ac:dyDescent="0.2">
      <c r="A72" s="304">
        <v>3</v>
      </c>
      <c r="B72" s="305" t="s">
        <v>66</v>
      </c>
      <c r="C72" s="22">
        <v>12870000</v>
      </c>
      <c r="D72" s="22">
        <v>12948000</v>
      </c>
      <c r="E72" s="22">
        <f>D72-C72</f>
        <v>78000</v>
      </c>
      <c r="F72" s="306">
        <f>IF(C72=0,0,E72/C72)</f>
        <v>6.0606060606060606E-3</v>
      </c>
    </row>
    <row r="73" spans="1:6" ht="24" customHeight="1" x14ac:dyDescent="0.25">
      <c r="A73" s="304"/>
      <c r="B73" s="308" t="s">
        <v>67</v>
      </c>
      <c r="C73" s="309">
        <f>SUM(C70:C72)</f>
        <v>561618000</v>
      </c>
      <c r="D73" s="309">
        <f>SUM(D70:D72)</f>
        <v>219612000</v>
      </c>
      <c r="E73" s="309">
        <f>D73-C73</f>
        <v>-342006000</v>
      </c>
      <c r="F73" s="310">
        <f>IF(C73=0,0,E73/C73)</f>
        <v>-0.60896552460925402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701308000</v>
      </c>
      <c r="D75" s="309">
        <f>D56+D65+D67+D73</f>
        <v>382783000</v>
      </c>
      <c r="E75" s="309">
        <f>D75-C75</f>
        <v>-318525000</v>
      </c>
      <c r="F75" s="310">
        <f>IF(C75=0,0,E75/C75)</f>
        <v>-0.4541870333719279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FILING&amp;RST.VINCENTS MEDICAL CENTER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1431622000</v>
      </c>
      <c r="D11" s="76">
        <v>1548392000</v>
      </c>
      <c r="E11" s="76">
        <f t="shared" ref="E11:E20" si="0">D11-C11</f>
        <v>116770000</v>
      </c>
      <c r="F11" s="77">
        <f t="shared" ref="F11:F20" si="1">IF(C11=0,0,E11/C11)</f>
        <v>8.1564826469556914E-2</v>
      </c>
    </row>
    <row r="12" spans="1:7" ht="23.1" customHeight="1" x14ac:dyDescent="0.2">
      <c r="A12" s="74">
        <v>2</v>
      </c>
      <c r="B12" s="75" t="s">
        <v>72</v>
      </c>
      <c r="C12" s="76">
        <v>943281000</v>
      </c>
      <c r="D12" s="76">
        <v>1040692000</v>
      </c>
      <c r="E12" s="76">
        <f t="shared" si="0"/>
        <v>97411000</v>
      </c>
      <c r="F12" s="77">
        <f t="shared" si="1"/>
        <v>0.10326827318688704</v>
      </c>
    </row>
    <row r="13" spans="1:7" ht="23.1" customHeight="1" x14ac:dyDescent="0.2">
      <c r="A13" s="74">
        <v>3</v>
      </c>
      <c r="B13" s="75" t="s">
        <v>73</v>
      </c>
      <c r="C13" s="76">
        <v>21887000</v>
      </c>
      <c r="D13" s="76">
        <v>24235000</v>
      </c>
      <c r="E13" s="76">
        <f t="shared" si="0"/>
        <v>2348000</v>
      </c>
      <c r="F13" s="77">
        <f t="shared" si="1"/>
        <v>0.10727829305066934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466454000</v>
      </c>
      <c r="D15" s="79">
        <f>D11-D12-D13-D14</f>
        <v>483465000</v>
      </c>
      <c r="E15" s="79">
        <f t="shared" si="0"/>
        <v>17011000</v>
      </c>
      <c r="F15" s="80">
        <f t="shared" si="1"/>
        <v>3.6468762193056552E-2</v>
      </c>
    </row>
    <row r="16" spans="1:7" ht="23.1" customHeight="1" x14ac:dyDescent="0.2">
      <c r="A16" s="74">
        <v>5</v>
      </c>
      <c r="B16" s="75" t="s">
        <v>76</v>
      </c>
      <c r="C16" s="76">
        <v>24067000</v>
      </c>
      <c r="D16" s="76">
        <v>26362000</v>
      </c>
      <c r="E16" s="76">
        <f t="shared" si="0"/>
        <v>2295000</v>
      </c>
      <c r="F16" s="77">
        <f t="shared" si="1"/>
        <v>9.5358790044459213E-2</v>
      </c>
      <c r="G16" s="65"/>
    </row>
    <row r="17" spans="1:7" ht="31.5" customHeight="1" x14ac:dyDescent="0.25">
      <c r="A17" s="71"/>
      <c r="B17" s="81" t="s">
        <v>77</v>
      </c>
      <c r="C17" s="79">
        <f>C15-C16</f>
        <v>442387000</v>
      </c>
      <c r="D17" s="79">
        <f>D15-D16</f>
        <v>457103000</v>
      </c>
      <c r="E17" s="79">
        <f t="shared" si="0"/>
        <v>14716000</v>
      </c>
      <c r="F17" s="80">
        <f t="shared" si="1"/>
        <v>3.3264991964049577E-2</v>
      </c>
    </row>
    <row r="18" spans="1:7" ht="23.1" customHeight="1" x14ac:dyDescent="0.2">
      <c r="A18" s="74">
        <v>6</v>
      </c>
      <c r="B18" s="75" t="s">
        <v>78</v>
      </c>
      <c r="C18" s="76">
        <v>44801000</v>
      </c>
      <c r="D18" s="76">
        <v>47394000</v>
      </c>
      <c r="E18" s="76">
        <f t="shared" si="0"/>
        <v>2593000</v>
      </c>
      <c r="F18" s="77">
        <f t="shared" si="1"/>
        <v>5.7878172362224055E-2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1307000</v>
      </c>
      <c r="D19" s="76">
        <v>1961000</v>
      </c>
      <c r="E19" s="76">
        <f t="shared" si="0"/>
        <v>654000</v>
      </c>
      <c r="F19" s="77">
        <f t="shared" si="1"/>
        <v>0.50038255547054322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488495000</v>
      </c>
      <c r="D20" s="79">
        <f>SUM(D17:D19)</f>
        <v>506458000</v>
      </c>
      <c r="E20" s="79">
        <f t="shared" si="0"/>
        <v>17963000</v>
      </c>
      <c r="F20" s="80">
        <f t="shared" si="1"/>
        <v>3.6772126633844771E-2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221430000</v>
      </c>
      <c r="D23" s="76">
        <v>217941000</v>
      </c>
      <c r="E23" s="76">
        <f t="shared" ref="E23:E32" si="2">D23-C23</f>
        <v>-3489000</v>
      </c>
      <c r="F23" s="77">
        <f t="shared" ref="F23:F32" si="3">IF(C23=0,0,E23/C23)</f>
        <v>-1.5756672537596533E-2</v>
      </c>
    </row>
    <row r="24" spans="1:7" ht="23.1" customHeight="1" x14ac:dyDescent="0.2">
      <c r="A24" s="74">
        <v>2</v>
      </c>
      <c r="B24" s="75" t="s">
        <v>83</v>
      </c>
      <c r="C24" s="76">
        <v>53194000</v>
      </c>
      <c r="D24" s="76">
        <v>53186000</v>
      </c>
      <c r="E24" s="76">
        <f t="shared" si="2"/>
        <v>-8000</v>
      </c>
      <c r="F24" s="77">
        <f t="shared" si="3"/>
        <v>-1.5039290145505132E-4</v>
      </c>
    </row>
    <row r="25" spans="1:7" ht="23.1" customHeight="1" x14ac:dyDescent="0.2">
      <c r="A25" s="74">
        <v>3</v>
      </c>
      <c r="B25" s="75" t="s">
        <v>84</v>
      </c>
      <c r="C25" s="76">
        <v>21401000</v>
      </c>
      <c r="D25" s="76">
        <v>19867000</v>
      </c>
      <c r="E25" s="76">
        <f t="shared" si="2"/>
        <v>-1534000</v>
      </c>
      <c r="F25" s="77">
        <f t="shared" si="3"/>
        <v>-7.167889350964908E-2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51197000</v>
      </c>
      <c r="D26" s="76">
        <v>53861000</v>
      </c>
      <c r="E26" s="76">
        <f t="shared" si="2"/>
        <v>2664000</v>
      </c>
      <c r="F26" s="77">
        <f t="shared" si="3"/>
        <v>5.2034298884700278E-2</v>
      </c>
    </row>
    <row r="27" spans="1:7" ht="23.1" customHeight="1" x14ac:dyDescent="0.2">
      <c r="A27" s="74">
        <v>5</v>
      </c>
      <c r="B27" s="75" t="s">
        <v>86</v>
      </c>
      <c r="C27" s="76">
        <v>26783000</v>
      </c>
      <c r="D27" s="76">
        <v>27221000</v>
      </c>
      <c r="E27" s="76">
        <f t="shared" si="2"/>
        <v>438000</v>
      </c>
      <c r="F27" s="77">
        <f t="shared" si="3"/>
        <v>1.6353657170593287E-2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1791000</v>
      </c>
      <c r="D29" s="76">
        <v>1800000</v>
      </c>
      <c r="E29" s="76">
        <f t="shared" si="2"/>
        <v>9000</v>
      </c>
      <c r="F29" s="77">
        <f t="shared" si="3"/>
        <v>5.0251256281407036E-3</v>
      </c>
    </row>
    <row r="30" spans="1:7" ht="23.1" customHeight="1" x14ac:dyDescent="0.2">
      <c r="A30" s="74">
        <v>8</v>
      </c>
      <c r="B30" s="75" t="s">
        <v>89</v>
      </c>
      <c r="C30" s="76">
        <v>8484000</v>
      </c>
      <c r="D30" s="76">
        <v>9211000</v>
      </c>
      <c r="E30" s="76">
        <f t="shared" si="2"/>
        <v>727000</v>
      </c>
      <c r="F30" s="77">
        <f t="shared" si="3"/>
        <v>8.5690711928335689E-2</v>
      </c>
    </row>
    <row r="31" spans="1:7" ht="23.1" customHeight="1" x14ac:dyDescent="0.2">
      <c r="A31" s="74">
        <v>9</v>
      </c>
      <c r="B31" s="75" t="s">
        <v>90</v>
      </c>
      <c r="C31" s="76">
        <v>123921000</v>
      </c>
      <c r="D31" s="76">
        <v>146255000</v>
      </c>
      <c r="E31" s="76">
        <f t="shared" si="2"/>
        <v>22334000</v>
      </c>
      <c r="F31" s="77">
        <f t="shared" si="3"/>
        <v>0.1802277257284883</v>
      </c>
    </row>
    <row r="32" spans="1:7" ht="23.1" customHeight="1" x14ac:dyDescent="0.25">
      <c r="A32" s="71"/>
      <c r="B32" s="78" t="s">
        <v>91</v>
      </c>
      <c r="C32" s="79">
        <f>SUM(C23:C31)</f>
        <v>508201000</v>
      </c>
      <c r="D32" s="79">
        <f>SUM(D23:D31)</f>
        <v>529342000</v>
      </c>
      <c r="E32" s="79">
        <f t="shared" si="2"/>
        <v>21141000</v>
      </c>
      <c r="F32" s="80">
        <f t="shared" si="3"/>
        <v>4.1599682015580453E-2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-19706000</v>
      </c>
      <c r="D34" s="79">
        <f>+D20-D32</f>
        <v>-22884000</v>
      </c>
      <c r="E34" s="79">
        <f>D34-C34</f>
        <v>-3178000</v>
      </c>
      <c r="F34" s="80">
        <f>IF(C34=0,0,E34/C34)</f>
        <v>0.16127067898102102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-12409000</v>
      </c>
      <c r="D37" s="76">
        <v>8031000</v>
      </c>
      <c r="E37" s="76">
        <f>D37-C37</f>
        <v>20440000</v>
      </c>
      <c r="F37" s="77">
        <f>IF(C37=0,0,E37/C37)</f>
        <v>-1.6471915545168829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-768000</v>
      </c>
      <c r="D39" s="76">
        <v>-1091000</v>
      </c>
      <c r="E39" s="76">
        <f>D39-C39</f>
        <v>-323000</v>
      </c>
      <c r="F39" s="77">
        <f>IF(C39=0,0,E39/C39)</f>
        <v>0.42057291666666669</v>
      </c>
    </row>
    <row r="40" spans="1:6" ht="23.1" customHeight="1" x14ac:dyDescent="0.25">
      <c r="A40" s="83"/>
      <c r="B40" s="78" t="s">
        <v>97</v>
      </c>
      <c r="C40" s="79">
        <f>SUM(C37:C39)</f>
        <v>-13177000</v>
      </c>
      <c r="D40" s="79">
        <f>SUM(D37:D39)</f>
        <v>6940000</v>
      </c>
      <c r="E40" s="79">
        <f>D40-C40</f>
        <v>20117000</v>
      </c>
      <c r="F40" s="80">
        <f>IF(C40=0,0,E40/C40)</f>
        <v>-1.5266752675115731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-32883000</v>
      </c>
      <c r="D42" s="79">
        <f>D34+D40</f>
        <v>-15944000</v>
      </c>
      <c r="E42" s="79">
        <f>D42-C42</f>
        <v>16939000</v>
      </c>
      <c r="F42" s="80">
        <f>IF(C42=0,0,E42/C42)</f>
        <v>-0.51512939816926684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-32883000</v>
      </c>
      <c r="D49" s="79">
        <f>D42+D47</f>
        <v>-15944000</v>
      </c>
      <c r="E49" s="79">
        <f>D49-C49</f>
        <v>16939000</v>
      </c>
      <c r="F49" s="80">
        <f>IF(C49=0,0,E49/C49)</f>
        <v>-0.51512939816926684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FILING&amp;R&amp;8ST.VINCENTS MEDICAL CENTER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2017-09-19T17:24:42Z</cp:lastPrinted>
  <dcterms:created xsi:type="dcterms:W3CDTF">2017-09-14T16:15:34Z</dcterms:created>
  <dcterms:modified xsi:type="dcterms:W3CDTF">2017-09-19T17:29:31Z</dcterms:modified>
</cp:coreProperties>
</file>