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 s="1"/>
  <c r="E92" i="22"/>
  <c r="D92" i="22"/>
  <c r="C92" i="22"/>
  <c r="E91" i="22"/>
  <c r="E93" i="22"/>
  <c r="D91" i="22"/>
  <c r="D93" i="22" s="1"/>
  <c r="C91" i="22"/>
  <c r="E87" i="22"/>
  <c r="D87" i="22"/>
  <c r="C87" i="22"/>
  <c r="E86" i="22"/>
  <c r="D86" i="22"/>
  <c r="C86" i="22"/>
  <c r="C88" i="22" s="1"/>
  <c r="E83" i="22"/>
  <c r="D83" i="22"/>
  <c r="C83" i="22"/>
  <c r="C101" i="22" s="1"/>
  <c r="E76" i="22"/>
  <c r="D76" i="22"/>
  <c r="C76" i="22"/>
  <c r="E75" i="22"/>
  <c r="E77" i="22" s="1"/>
  <c r="D75" i="22"/>
  <c r="D77" i="22" s="1"/>
  <c r="D108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22" i="22" s="1"/>
  <c r="C12" i="22"/>
  <c r="C34" i="22" s="1"/>
  <c r="D21" i="21"/>
  <c r="C21" i="21"/>
  <c r="D19" i="21"/>
  <c r="C19" i="21"/>
  <c r="E17" i="21"/>
  <c r="F17" i="21" s="1"/>
  <c r="E15" i="21"/>
  <c r="F15" i="21" s="1"/>
  <c r="D45" i="20"/>
  <c r="C45" i="20"/>
  <c r="D44" i="20"/>
  <c r="E44" i="20" s="1"/>
  <c r="C44" i="20"/>
  <c r="D43" i="20"/>
  <c r="E43" i="20" s="1"/>
  <c r="C43" i="20"/>
  <c r="D36" i="20"/>
  <c r="D40" i="20"/>
  <c r="D41" i="20" s="1"/>
  <c r="C36" i="20"/>
  <c r="C40" i="20" s="1"/>
  <c r="E35" i="20"/>
  <c r="F35" i="20" s="1"/>
  <c r="E34" i="20"/>
  <c r="F34" i="20" s="1"/>
  <c r="F33" i="20"/>
  <c r="E33" i="20"/>
  <c r="E30" i="20"/>
  <c r="F30" i="20" s="1"/>
  <c r="E29" i="20"/>
  <c r="F29" i="20" s="1"/>
  <c r="E28" i="20"/>
  <c r="F28" i="20" s="1"/>
  <c r="E27" i="20"/>
  <c r="F27" i="20" s="1"/>
  <c r="D25" i="20"/>
  <c r="D39" i="20"/>
  <c r="C25" i="20"/>
  <c r="C39" i="20" s="1"/>
  <c r="E24" i="20"/>
  <c r="F24" i="20" s="1"/>
  <c r="E23" i="20"/>
  <c r="F23" i="20" s="1"/>
  <c r="E22" i="20"/>
  <c r="F22" i="20" s="1"/>
  <c r="D19" i="20"/>
  <c r="D20" i="20" s="1"/>
  <c r="E20" i="20" s="1"/>
  <c r="F20" i="20" s="1"/>
  <c r="C19" i="20"/>
  <c r="C20" i="20" s="1"/>
  <c r="E18" i="20"/>
  <c r="F18" i="20" s="1"/>
  <c r="D16" i="20"/>
  <c r="C16" i="20"/>
  <c r="E16" i="20" s="1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/>
  <c r="C324" i="18"/>
  <c r="E318" i="18"/>
  <c r="E315" i="18"/>
  <c r="D314" i="18"/>
  <c r="E314" i="18" s="1"/>
  <c r="C314" i="18"/>
  <c r="C316" i="18" s="1"/>
  <c r="C320" i="18" s="1"/>
  <c r="E308" i="18"/>
  <c r="E305" i="18"/>
  <c r="D301" i="18"/>
  <c r="C301" i="18"/>
  <c r="E301" i="18" s="1"/>
  <c r="D293" i="18"/>
  <c r="C293" i="18"/>
  <c r="D292" i="18"/>
  <c r="E292" i="18" s="1"/>
  <c r="C292" i="18"/>
  <c r="D291" i="18"/>
  <c r="C291" i="18"/>
  <c r="E291" i="18" s="1"/>
  <c r="D290" i="18"/>
  <c r="C290" i="18"/>
  <c r="D288" i="18"/>
  <c r="C288" i="18"/>
  <c r="E288" i="18" s="1"/>
  <c r="D287" i="18"/>
  <c r="C287" i="18"/>
  <c r="D282" i="18"/>
  <c r="C282" i="18"/>
  <c r="D281" i="18"/>
  <c r="C281" i="18"/>
  <c r="D280" i="18"/>
  <c r="E280" i="18" s="1"/>
  <c r="C280" i="18"/>
  <c r="D279" i="18"/>
  <c r="C279" i="18"/>
  <c r="D278" i="18"/>
  <c r="C278" i="18"/>
  <c r="E278" i="18"/>
  <c r="D277" i="18"/>
  <c r="C277" i="18"/>
  <c r="E277" i="18" s="1"/>
  <c r="D276" i="18"/>
  <c r="C276" i="18"/>
  <c r="E276" i="18" s="1"/>
  <c r="E270" i="18"/>
  <c r="D265" i="18"/>
  <c r="D302" i="18"/>
  <c r="C265" i="18"/>
  <c r="C302" i="18"/>
  <c r="E302" i="18" s="1"/>
  <c r="D262" i="18"/>
  <c r="C262" i="18"/>
  <c r="D251" i="18"/>
  <c r="C251" i="18"/>
  <c r="D233" i="18"/>
  <c r="C233" i="18"/>
  <c r="D232" i="18"/>
  <c r="C232" i="18"/>
  <c r="E232" i="18" s="1"/>
  <c r="D231" i="18"/>
  <c r="C231" i="18"/>
  <c r="D230" i="18"/>
  <c r="E230" i="18" s="1"/>
  <c r="C230" i="18"/>
  <c r="D228" i="18"/>
  <c r="E228" i="18" s="1"/>
  <c r="C228" i="18"/>
  <c r="D227" i="18"/>
  <c r="C227" i="18"/>
  <c r="D221" i="18"/>
  <c r="C221" i="18"/>
  <c r="C245" i="18"/>
  <c r="D220" i="18"/>
  <c r="D244" i="18"/>
  <c r="C220" i="18"/>
  <c r="D219" i="18"/>
  <c r="D222" i="18" s="1"/>
  <c r="C219" i="18"/>
  <c r="C243" i="18" s="1"/>
  <c r="D218" i="18"/>
  <c r="D242" i="18"/>
  <c r="C218" i="18"/>
  <c r="D216" i="18"/>
  <c r="D240" i="18" s="1"/>
  <c r="C216" i="18"/>
  <c r="C240" i="18" s="1"/>
  <c r="C253" i="18" s="1"/>
  <c r="D215" i="18"/>
  <c r="D239" i="18" s="1"/>
  <c r="E239" i="18" s="1"/>
  <c r="E215" i="18"/>
  <c r="C215" i="18"/>
  <c r="C239" i="18" s="1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D260" i="18" s="1"/>
  <c r="C195" i="18"/>
  <c r="C260" i="18" s="1"/>
  <c r="E260" i="18" s="1"/>
  <c r="E194" i="18"/>
  <c r="E193" i="18"/>
  <c r="E192" i="18"/>
  <c r="E191" i="18"/>
  <c r="E190" i="18"/>
  <c r="D188" i="18"/>
  <c r="D189" i="18" s="1"/>
  <c r="E189" i="18" s="1"/>
  <c r="C188" i="18"/>
  <c r="C189" i="18" s="1"/>
  <c r="E186" i="18"/>
  <c r="E185" i="18"/>
  <c r="D179" i="18"/>
  <c r="C179" i="18"/>
  <c r="D178" i="18"/>
  <c r="C178" i="18"/>
  <c r="D177" i="18"/>
  <c r="C177" i="18"/>
  <c r="D176" i="18"/>
  <c r="C176" i="18"/>
  <c r="D174" i="18"/>
  <c r="C174" i="18"/>
  <c r="D173" i="18"/>
  <c r="C173" i="18"/>
  <c r="E173" i="18" s="1"/>
  <c r="D167" i="18"/>
  <c r="C167" i="18"/>
  <c r="D166" i="18"/>
  <c r="C166" i="18"/>
  <c r="D165" i="18"/>
  <c r="E165" i="18" s="1"/>
  <c r="C165" i="18"/>
  <c r="D164" i="18"/>
  <c r="C164" i="18"/>
  <c r="D162" i="18"/>
  <c r="E162" i="18" s="1"/>
  <c r="C162" i="18"/>
  <c r="D161" i="18"/>
  <c r="C161" i="18"/>
  <c r="E161" i="18" s="1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C139" i="18"/>
  <c r="E138" i="18"/>
  <c r="E137" i="18"/>
  <c r="D75" i="18"/>
  <c r="C75" i="18"/>
  <c r="E75" i="18" s="1"/>
  <c r="D74" i="18"/>
  <c r="E74" i="18" s="1"/>
  <c r="C74" i="18"/>
  <c r="D73" i="18"/>
  <c r="C73" i="18"/>
  <c r="E73" i="18" s="1"/>
  <c r="D72" i="18"/>
  <c r="C72" i="18"/>
  <c r="D70" i="18"/>
  <c r="C70" i="18"/>
  <c r="E70" i="18" s="1"/>
  <c r="D69" i="18"/>
  <c r="C69" i="18"/>
  <c r="E64" i="18"/>
  <c r="E63" i="18"/>
  <c r="E62" i="18"/>
  <c r="E61" i="18"/>
  <c r="D60" i="18"/>
  <c r="D71" i="18" s="1"/>
  <c r="C60" i="18"/>
  <c r="E59" i="18"/>
  <c r="E58" i="18"/>
  <c r="D54" i="18"/>
  <c r="D55" i="18" s="1"/>
  <c r="C54" i="18"/>
  <c r="C55" i="18"/>
  <c r="E53" i="18"/>
  <c r="E52" i="18"/>
  <c r="E51" i="18"/>
  <c r="E50" i="18"/>
  <c r="E49" i="18"/>
  <c r="E48" i="18"/>
  <c r="E47" i="18"/>
  <c r="D42" i="18"/>
  <c r="C42" i="18"/>
  <c r="D41" i="18"/>
  <c r="C41" i="18"/>
  <c r="D40" i="18"/>
  <c r="E40" i="18"/>
  <c r="C40" i="18"/>
  <c r="D39" i="18"/>
  <c r="C39" i="18"/>
  <c r="D38" i="18"/>
  <c r="C38" i="18"/>
  <c r="D37" i="18"/>
  <c r="C37" i="18"/>
  <c r="D36" i="18"/>
  <c r="C36" i="18"/>
  <c r="D32" i="18"/>
  <c r="C32" i="18"/>
  <c r="C33" i="18" s="1"/>
  <c r="E31" i="18"/>
  <c r="E30" i="18"/>
  <c r="E29" i="18"/>
  <c r="E28" i="18"/>
  <c r="E27" i="18"/>
  <c r="E26" i="18"/>
  <c r="E25" i="18"/>
  <c r="D22" i="18"/>
  <c r="D284" i="18" s="1"/>
  <c r="D21" i="18"/>
  <c r="C21" i="18"/>
  <c r="C283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E332" i="17"/>
  <c r="F332" i="17" s="1"/>
  <c r="E331" i="17"/>
  <c r="F331" i="17" s="1"/>
  <c r="E330" i="17"/>
  <c r="F330" i="17" s="1"/>
  <c r="E329" i="17"/>
  <c r="F329" i="17" s="1"/>
  <c r="F316" i="17"/>
  <c r="E316" i="17"/>
  <c r="F311" i="17"/>
  <c r="D311" i="17"/>
  <c r="E311" i="17" s="1"/>
  <c r="C311" i="17"/>
  <c r="E308" i="17"/>
  <c r="F308" i="17"/>
  <c r="D307" i="17"/>
  <c r="E307" i="17"/>
  <c r="F307" i="17"/>
  <c r="C307" i="17"/>
  <c r="D299" i="17"/>
  <c r="C299" i="17"/>
  <c r="D298" i="17"/>
  <c r="E298" i="17" s="1"/>
  <c r="C298" i="17"/>
  <c r="F298" i="17" s="1"/>
  <c r="D297" i="17"/>
  <c r="C297" i="17"/>
  <c r="D296" i="17"/>
  <c r="E296" i="17" s="1"/>
  <c r="F296" i="17" s="1"/>
  <c r="C296" i="17"/>
  <c r="D295" i="17"/>
  <c r="C295" i="17"/>
  <c r="D294" i="17"/>
  <c r="E294" i="17" s="1"/>
  <c r="C294" i="17"/>
  <c r="D250" i="17"/>
  <c r="D306" i="17"/>
  <c r="C250" i="17"/>
  <c r="E249" i="17"/>
  <c r="F249" i="17" s="1"/>
  <c r="E248" i="17"/>
  <c r="F248" i="17" s="1"/>
  <c r="F245" i="17"/>
  <c r="E245" i="17"/>
  <c r="E244" i="17"/>
  <c r="F244" i="17" s="1"/>
  <c r="E243" i="17"/>
  <c r="F243" i="17"/>
  <c r="D238" i="17"/>
  <c r="C238" i="17"/>
  <c r="D237" i="17"/>
  <c r="D239" i="17" s="1"/>
  <c r="C237" i="17"/>
  <c r="C239" i="17" s="1"/>
  <c r="E234" i="17"/>
  <c r="F234" i="17" s="1"/>
  <c r="E233" i="17"/>
  <c r="F233" i="17" s="1"/>
  <c r="D230" i="17"/>
  <c r="E230" i="17" s="1"/>
  <c r="C230" i="17"/>
  <c r="D229" i="17"/>
  <c r="C229" i="17"/>
  <c r="E228" i="17"/>
  <c r="F228" i="17" s="1"/>
  <c r="D226" i="17"/>
  <c r="D227" i="17" s="1"/>
  <c r="C226" i="17"/>
  <c r="C227" i="17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C204" i="17"/>
  <c r="C215" i="17" s="1"/>
  <c r="D203" i="17"/>
  <c r="D214" i="17" s="1"/>
  <c r="C203" i="17"/>
  <c r="C283" i="17"/>
  <c r="D198" i="17"/>
  <c r="C198" i="17"/>
  <c r="D191" i="17"/>
  <c r="D264" i="17" s="1"/>
  <c r="D300" i="17" s="1"/>
  <c r="C191" i="17"/>
  <c r="C280" i="17"/>
  <c r="D189" i="17"/>
  <c r="C189" i="17"/>
  <c r="C278" i="17" s="1"/>
  <c r="D188" i="17"/>
  <c r="D277" i="17" s="1"/>
  <c r="C188" i="17"/>
  <c r="C277" i="17"/>
  <c r="C279" i="17" s="1"/>
  <c r="C181" i="17"/>
  <c r="F181" i="17" s="1"/>
  <c r="D180" i="17"/>
  <c r="D181" i="17" s="1"/>
  <c r="E181" i="17" s="1"/>
  <c r="E180" i="17"/>
  <c r="C180" i="17"/>
  <c r="F180" i="17" s="1"/>
  <c r="D179" i="17"/>
  <c r="C179" i="17"/>
  <c r="F179" i="17" s="1"/>
  <c r="D171" i="17"/>
  <c r="D172" i="17" s="1"/>
  <c r="C171" i="17"/>
  <c r="C172" i="17" s="1"/>
  <c r="F172" i="17" s="1"/>
  <c r="D170" i="17"/>
  <c r="C170" i="17"/>
  <c r="F169" i="17"/>
  <c r="E169" i="17"/>
  <c r="F168" i="17"/>
  <c r="E168" i="17"/>
  <c r="D165" i="17"/>
  <c r="C165" i="17"/>
  <c r="F165" i="17" s="1"/>
  <c r="D164" i="17"/>
  <c r="E164" i="17" s="1"/>
  <c r="C164" i="17"/>
  <c r="F164" i="17" s="1"/>
  <c r="F163" i="17"/>
  <c r="E163" i="17"/>
  <c r="D158" i="17"/>
  <c r="D159" i="17"/>
  <c r="D160" i="17" s="1"/>
  <c r="C158" i="17"/>
  <c r="F158" i="17" s="1"/>
  <c r="F157" i="17"/>
  <c r="E157" i="17"/>
  <c r="F156" i="17"/>
  <c r="E156" i="17"/>
  <c r="D155" i="17"/>
  <c r="E155" i="17" s="1"/>
  <c r="C155" i="17"/>
  <c r="F155" i="17" s="1"/>
  <c r="F154" i="17"/>
  <c r="E154" i="17"/>
  <c r="F153" i="17"/>
  <c r="E153" i="17"/>
  <c r="D145" i="17"/>
  <c r="C145" i="17"/>
  <c r="D144" i="17"/>
  <c r="C144" i="17"/>
  <c r="C146" i="17" s="1"/>
  <c r="D136" i="17"/>
  <c r="E136" i="17" s="1"/>
  <c r="F136" i="17" s="1"/>
  <c r="D137" i="17"/>
  <c r="E137" i="17" s="1"/>
  <c r="F137" i="17" s="1"/>
  <c r="C136" i="17"/>
  <c r="C137" i="17" s="1"/>
  <c r="D135" i="17"/>
  <c r="E135" i="17" s="1"/>
  <c r="C135" i="17"/>
  <c r="E134" i="17"/>
  <c r="F134" i="17" s="1"/>
  <c r="E133" i="17"/>
  <c r="F133" i="17" s="1"/>
  <c r="D130" i="17"/>
  <c r="C130" i="17"/>
  <c r="D129" i="17"/>
  <c r="E129" i="17"/>
  <c r="F129" i="17" s="1"/>
  <c r="C129" i="17"/>
  <c r="E128" i="17"/>
  <c r="F128" i="17" s="1"/>
  <c r="D123" i="17"/>
  <c r="C123" i="17"/>
  <c r="E122" i="17"/>
  <c r="F122" i="17" s="1"/>
  <c r="E121" i="17"/>
  <c r="F121" i="17" s="1"/>
  <c r="D120" i="17"/>
  <c r="E120" i="17" s="1"/>
  <c r="F120" i="17" s="1"/>
  <c r="C120" i="17"/>
  <c r="E119" i="17"/>
  <c r="F119" i="17" s="1"/>
  <c r="E118" i="17"/>
  <c r="F118" i="17" s="1"/>
  <c r="D110" i="17"/>
  <c r="C110" i="17"/>
  <c r="D109" i="17"/>
  <c r="C109" i="17"/>
  <c r="D101" i="17"/>
  <c r="D102" i="17" s="1"/>
  <c r="C101" i="17"/>
  <c r="E101" i="17" s="1"/>
  <c r="D100" i="17"/>
  <c r="C100" i="17"/>
  <c r="E99" i="17"/>
  <c r="F99" i="17" s="1"/>
  <c r="E98" i="17"/>
  <c r="F98" i="17"/>
  <c r="D95" i="17"/>
  <c r="C95" i="17"/>
  <c r="D94" i="17"/>
  <c r="E94" i="17" s="1"/>
  <c r="F94" i="17" s="1"/>
  <c r="C94" i="17"/>
  <c r="E93" i="17"/>
  <c r="F93" i="17" s="1"/>
  <c r="D88" i="17"/>
  <c r="C88" i="17"/>
  <c r="C89" i="17" s="1"/>
  <c r="E87" i="17"/>
  <c r="F87" i="17" s="1"/>
  <c r="E86" i="17"/>
  <c r="F86" i="17" s="1"/>
  <c r="D85" i="17"/>
  <c r="F85" i="17"/>
  <c r="C85" i="17"/>
  <c r="E85" i="17" s="1"/>
  <c r="E84" i="17"/>
  <c r="F84" i="17" s="1"/>
  <c r="E83" i="17"/>
  <c r="F83" i="17" s="1"/>
  <c r="D76" i="17"/>
  <c r="D77" i="17"/>
  <c r="C76" i="17"/>
  <c r="E74" i="17"/>
  <c r="F74" i="17" s="1"/>
  <c r="E73" i="17"/>
  <c r="F73" i="17" s="1"/>
  <c r="D67" i="17"/>
  <c r="C67" i="17"/>
  <c r="D66" i="17"/>
  <c r="D68" i="17"/>
  <c r="C66" i="17"/>
  <c r="C68" i="17" s="1"/>
  <c r="D59" i="17"/>
  <c r="D60" i="17" s="1"/>
  <c r="C59" i="17"/>
  <c r="C60" i="17" s="1"/>
  <c r="C61" i="17" s="1"/>
  <c r="D58" i="17"/>
  <c r="C58" i="17"/>
  <c r="E57" i="17"/>
  <c r="F57" i="17" s="1"/>
  <c r="E56" i="17"/>
  <c r="F56" i="17"/>
  <c r="D53" i="17"/>
  <c r="C53" i="17"/>
  <c r="D52" i="17"/>
  <c r="C52" i="17"/>
  <c r="E52" i="17" s="1"/>
  <c r="F52" i="17" s="1"/>
  <c r="E51" i="17"/>
  <c r="F51" i="17" s="1"/>
  <c r="D47" i="17"/>
  <c r="D48" i="17"/>
  <c r="C47" i="17"/>
  <c r="E46" i="17"/>
  <c r="F46" i="17"/>
  <c r="E45" i="17"/>
  <c r="F45" i="17" s="1"/>
  <c r="D44" i="17"/>
  <c r="C44" i="17"/>
  <c r="E43" i="17"/>
  <c r="F43" i="17"/>
  <c r="E42" i="17"/>
  <c r="F42" i="17" s="1"/>
  <c r="D36" i="17"/>
  <c r="C36" i="17"/>
  <c r="D35" i="17"/>
  <c r="D37" i="17"/>
  <c r="C35" i="17"/>
  <c r="D30" i="17"/>
  <c r="D31" i="17"/>
  <c r="C30" i="17"/>
  <c r="D29" i="17"/>
  <c r="C29" i="17"/>
  <c r="E28" i="17"/>
  <c r="F28" i="17"/>
  <c r="E27" i="17"/>
  <c r="F27" i="17" s="1"/>
  <c r="D24" i="17"/>
  <c r="C24" i="17"/>
  <c r="D23" i="17"/>
  <c r="E23" i="17" s="1"/>
  <c r="F23" i="17" s="1"/>
  <c r="C23" i="17"/>
  <c r="E22" i="17"/>
  <c r="F22" i="17"/>
  <c r="D20" i="17"/>
  <c r="C20" i="17"/>
  <c r="E19" i="17"/>
  <c r="F19" i="17" s="1"/>
  <c r="E18" i="17"/>
  <c r="F18" i="17"/>
  <c r="D17" i="17"/>
  <c r="C17" i="17"/>
  <c r="E16" i="17"/>
  <c r="F16" i="17"/>
  <c r="E15" i="17"/>
  <c r="F15" i="17" s="1"/>
  <c r="D21" i="16"/>
  <c r="C21" i="16"/>
  <c r="E21" i="16" s="1"/>
  <c r="E20" i="16"/>
  <c r="F20" i="16" s="1"/>
  <c r="D17" i="16"/>
  <c r="C17" i="16"/>
  <c r="E16" i="16"/>
  <c r="F16" i="16" s="1"/>
  <c r="D13" i="16"/>
  <c r="E13" i="16" s="1"/>
  <c r="F13" i="16" s="1"/>
  <c r="C13" i="16"/>
  <c r="E12" i="16"/>
  <c r="F12" i="16" s="1"/>
  <c r="D107" i="15"/>
  <c r="E107" i="15" s="1"/>
  <c r="F107" i="15" s="1"/>
  <c r="C107" i="15"/>
  <c r="E106" i="15"/>
  <c r="F106" i="15" s="1"/>
  <c r="E105" i="15"/>
  <c r="F105" i="15" s="1"/>
  <c r="F104" i="15"/>
  <c r="E104" i="15"/>
  <c r="D100" i="15"/>
  <c r="E100" i="15" s="1"/>
  <c r="F100" i="15" s="1"/>
  <c r="C100" i="15"/>
  <c r="E99" i="15"/>
  <c r="F99" i="15" s="1"/>
  <c r="E98" i="15"/>
  <c r="F98" i="15" s="1"/>
  <c r="F97" i="15"/>
  <c r="E97" i="15"/>
  <c r="E96" i="15"/>
  <c r="F96" i="15" s="1"/>
  <c r="F95" i="15"/>
  <c r="E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E69" i="15"/>
  <c r="F69" i="15" s="1"/>
  <c r="E68" i="15"/>
  <c r="F68" i="15" s="1"/>
  <c r="D65" i="15"/>
  <c r="C65" i="15"/>
  <c r="E65" i="15" s="1"/>
  <c r="E64" i="15"/>
  <c r="F64" i="15" s="1"/>
  <c r="E63" i="15"/>
  <c r="F63" i="15" s="1"/>
  <c r="D60" i="15"/>
  <c r="C60" i="15"/>
  <c r="F60" i="15" s="1"/>
  <c r="F59" i="15"/>
  <c r="E59" i="15"/>
  <c r="F58" i="15"/>
  <c r="E58" i="15"/>
  <c r="E60" i="15" s="1"/>
  <c r="D55" i="15"/>
  <c r="C55" i="15"/>
  <c r="F54" i="15"/>
  <c r="E54" i="15"/>
  <c r="E53" i="15"/>
  <c r="F53" i="15" s="1"/>
  <c r="D50" i="15"/>
  <c r="C50" i="15"/>
  <c r="E50" i="15" s="1"/>
  <c r="E49" i="15"/>
  <c r="F49" i="15" s="1"/>
  <c r="F48" i="15"/>
  <c r="E48" i="15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F34" i="15"/>
  <c r="E34" i="15"/>
  <c r="F33" i="15"/>
  <c r="E33" i="15"/>
  <c r="D30" i="15"/>
  <c r="E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E23" i="15" s="1"/>
  <c r="E22" i="15"/>
  <c r="F22" i="15" s="1"/>
  <c r="F21" i="15"/>
  <c r="E21" i="15"/>
  <c r="F20" i="15"/>
  <c r="E20" i="15"/>
  <c r="F19" i="15"/>
  <c r="E19" i="15"/>
  <c r="D16" i="15"/>
  <c r="C16" i="15"/>
  <c r="F15" i="15"/>
  <c r="E15" i="15"/>
  <c r="F14" i="15"/>
  <c r="E14" i="15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E17" i="14"/>
  <c r="E33" i="14" s="1"/>
  <c r="E36" i="14" s="1"/>
  <c r="E38" i="14" s="1"/>
  <c r="E40" i="14"/>
  <c r="D17" i="14"/>
  <c r="D33" i="14" s="1"/>
  <c r="D36" i="14" s="1"/>
  <c r="D38" i="14" s="1"/>
  <c r="D40" i="14" s="1"/>
  <c r="C17" i="14"/>
  <c r="C33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C80" i="13" s="1"/>
  <c r="C77" i="13" s="1"/>
  <c r="E73" i="13"/>
  <c r="E75" i="13" s="1"/>
  <c r="D73" i="13"/>
  <c r="D75" i="13"/>
  <c r="C73" i="13"/>
  <c r="C75" i="13" s="1"/>
  <c r="E71" i="13"/>
  <c r="D71" i="13"/>
  <c r="C71" i="13"/>
  <c r="E66" i="13"/>
  <c r="D66" i="13"/>
  <c r="D65" i="13" s="1"/>
  <c r="C66" i="13"/>
  <c r="C65" i="13" s="1"/>
  <c r="E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C50" i="13"/>
  <c r="E46" i="13"/>
  <c r="E59" i="13"/>
  <c r="E61" i="13"/>
  <c r="E57" i="13" s="1"/>
  <c r="D46" i="13"/>
  <c r="D48" i="13" s="1"/>
  <c r="D59" i="13"/>
  <c r="D61" i="13" s="1"/>
  <c r="C46" i="13"/>
  <c r="C59" i="13" s="1"/>
  <c r="E45" i="13"/>
  <c r="D45" i="13"/>
  <c r="C45" i="13"/>
  <c r="C42" i="13" s="1"/>
  <c r="E38" i="13"/>
  <c r="D38" i="13"/>
  <c r="C38" i="13"/>
  <c r="E33" i="13"/>
  <c r="E34" i="13" s="1"/>
  <c r="D33" i="13"/>
  <c r="D34" i="13"/>
  <c r="E26" i="13"/>
  <c r="D26" i="13"/>
  <c r="C26" i="13"/>
  <c r="D15" i="13"/>
  <c r="D24" i="13" s="1"/>
  <c r="E13" i="13"/>
  <c r="E25" i="13" s="1"/>
  <c r="D13" i="13"/>
  <c r="D25" i="13" s="1"/>
  <c r="D27" i="13" s="1"/>
  <c r="D21" i="13" s="1"/>
  <c r="C13" i="13"/>
  <c r="C25" i="13" s="1"/>
  <c r="C27" i="13" s="1"/>
  <c r="D47" i="12"/>
  <c r="C47" i="12"/>
  <c r="F46" i="12"/>
  <c r="E46" i="12"/>
  <c r="F45" i="12"/>
  <c r="E45" i="12"/>
  <c r="D40" i="12"/>
  <c r="E40" i="12" s="1"/>
  <c r="F40" i="12" s="1"/>
  <c r="C40" i="12"/>
  <c r="E39" i="12"/>
  <c r="F39" i="12" s="1"/>
  <c r="E38" i="12"/>
  <c r="F38" i="12" s="1"/>
  <c r="F37" i="12"/>
  <c r="E37" i="12"/>
  <c r="D32" i="12"/>
  <c r="E32" i="12" s="1"/>
  <c r="C32" i="12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/>
  <c r="E19" i="12"/>
  <c r="F19" i="12" s="1"/>
  <c r="E18" i="12"/>
  <c r="F18" i="12" s="1"/>
  <c r="E16" i="12"/>
  <c r="F16" i="12" s="1"/>
  <c r="D15" i="12"/>
  <c r="D17" i="12" s="1"/>
  <c r="C15" i="12"/>
  <c r="E14" i="12"/>
  <c r="F14" i="12"/>
  <c r="E13" i="12"/>
  <c r="F13" i="12" s="1"/>
  <c r="E12" i="12"/>
  <c r="F12" i="12"/>
  <c r="E11" i="12"/>
  <c r="F11" i="12" s="1"/>
  <c r="D73" i="11"/>
  <c r="C73" i="11"/>
  <c r="E72" i="11"/>
  <c r="F72" i="11"/>
  <c r="E71" i="11"/>
  <c r="F71" i="11" s="1"/>
  <c r="E70" i="11"/>
  <c r="F70" i="11" s="1"/>
  <c r="E67" i="11"/>
  <c r="F67" i="11" s="1"/>
  <c r="E64" i="11"/>
  <c r="F64" i="11"/>
  <c r="F63" i="11"/>
  <c r="E63" i="11"/>
  <c r="D61" i="11"/>
  <c r="D65" i="11"/>
  <c r="C61" i="11"/>
  <c r="E61" i="11" s="1"/>
  <c r="F61" i="11" s="1"/>
  <c r="E60" i="11"/>
  <c r="F60" i="11" s="1"/>
  <c r="E59" i="11"/>
  <c r="F59" i="11" s="1"/>
  <c r="D56" i="11"/>
  <c r="D75" i="11" s="1"/>
  <c r="C56" i="11"/>
  <c r="F55" i="11"/>
  <c r="E55" i="11"/>
  <c r="E54" i="11"/>
  <c r="F54" i="11" s="1"/>
  <c r="E53" i="11"/>
  <c r="F53" i="11" s="1"/>
  <c r="F52" i="11"/>
  <c r="E52" i="11"/>
  <c r="E51" i="11"/>
  <c r="F51" i="11" s="1"/>
  <c r="E50" i="11"/>
  <c r="F50" i="11" s="1"/>
  <c r="A50" i="11"/>
  <c r="A51" i="11"/>
  <c r="A52" i="11" s="1"/>
  <c r="A53" i="11" s="1"/>
  <c r="A54" i="11" s="1"/>
  <c r="A55" i="11"/>
  <c r="E49" i="11"/>
  <c r="F49" i="11"/>
  <c r="F40" i="11"/>
  <c r="E40" i="11"/>
  <c r="D38" i="11"/>
  <c r="D41" i="11"/>
  <c r="C38" i="11"/>
  <c r="E38" i="11" s="1"/>
  <c r="F38" i="11" s="1"/>
  <c r="E37" i="11"/>
  <c r="F37" i="11" s="1"/>
  <c r="E36" i="11"/>
  <c r="F36" i="11" s="1"/>
  <c r="E33" i="11"/>
  <c r="F33" i="11"/>
  <c r="E32" i="11"/>
  <c r="F32" i="11" s="1"/>
  <c r="F31" i="11"/>
  <c r="E31" i="11"/>
  <c r="D29" i="11"/>
  <c r="E29" i="11" s="1"/>
  <c r="C29" i="11"/>
  <c r="F29" i="11" s="1"/>
  <c r="F28" i="11"/>
  <c r="E28" i="11"/>
  <c r="E27" i="11"/>
  <c r="F27" i="11" s="1"/>
  <c r="F26" i="11"/>
  <c r="E26" i="11"/>
  <c r="E25" i="11"/>
  <c r="F25" i="11" s="1"/>
  <c r="D22" i="11"/>
  <c r="E22" i="11" s="1"/>
  <c r="F22" i="11" s="1"/>
  <c r="D43" i="11"/>
  <c r="C22" i="11"/>
  <c r="E21" i="11"/>
  <c r="F21" i="11" s="1"/>
  <c r="E20" i="11"/>
  <c r="F20" i="11" s="1"/>
  <c r="E19" i="11"/>
  <c r="F19" i="11"/>
  <c r="F18" i="11"/>
  <c r="E18" i="11"/>
  <c r="E17" i="11"/>
  <c r="F17" i="11" s="1"/>
  <c r="F16" i="11"/>
  <c r="E16" i="11"/>
  <c r="E15" i="11"/>
  <c r="F15" i="11" s="1"/>
  <c r="E14" i="11"/>
  <c r="F14" i="11" s="1"/>
  <c r="E13" i="11"/>
  <c r="F13" i="11" s="1"/>
  <c r="D120" i="10"/>
  <c r="C120" i="10"/>
  <c r="F120" i="10" s="1"/>
  <c r="D119" i="10"/>
  <c r="C119" i="10"/>
  <c r="F119" i="10" s="1"/>
  <c r="D118" i="10"/>
  <c r="C118" i="10"/>
  <c r="F118" i="10" s="1"/>
  <c r="D117" i="10"/>
  <c r="C117" i="10"/>
  <c r="F117" i="10"/>
  <c r="D116" i="10"/>
  <c r="C116" i="10"/>
  <c r="F116" i="10" s="1"/>
  <c r="D115" i="10"/>
  <c r="C115" i="10"/>
  <c r="F115" i="10" s="1"/>
  <c r="D114" i="10"/>
  <c r="C114" i="10"/>
  <c r="F114" i="10"/>
  <c r="D113" i="10"/>
  <c r="C113" i="10"/>
  <c r="F113" i="10" s="1"/>
  <c r="D112" i="10"/>
  <c r="D121" i="10" s="1"/>
  <c r="C112" i="10"/>
  <c r="F112" i="10" s="1"/>
  <c r="D108" i="10"/>
  <c r="C108" i="10"/>
  <c r="E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 s="1"/>
  <c r="D205" i="9"/>
  <c r="C205" i="9"/>
  <c r="D204" i="9"/>
  <c r="C204" i="9"/>
  <c r="D203" i="9"/>
  <c r="E203" i="9" s="1"/>
  <c r="C203" i="9"/>
  <c r="F203" i="9" s="1"/>
  <c r="D202" i="9"/>
  <c r="C202" i="9"/>
  <c r="E202" i="9" s="1"/>
  <c r="F202" i="9" s="1"/>
  <c r="D201" i="9"/>
  <c r="C201" i="9"/>
  <c r="D200" i="9"/>
  <c r="E200" i="9" s="1"/>
  <c r="F200" i="9" s="1"/>
  <c r="C200" i="9"/>
  <c r="D199" i="9"/>
  <c r="C199" i="9"/>
  <c r="D198" i="9"/>
  <c r="C198" i="9"/>
  <c r="C207" i="9" s="1"/>
  <c r="D193" i="9"/>
  <c r="C193" i="9"/>
  <c r="E193" i="9" s="1"/>
  <c r="D192" i="9"/>
  <c r="C192" i="9"/>
  <c r="F191" i="9"/>
  <c r="E191" i="9"/>
  <c r="F190" i="9"/>
  <c r="E190" i="9"/>
  <c r="F189" i="9"/>
  <c r="E189" i="9"/>
  <c r="E188" i="9"/>
  <c r="F188" i="9" s="1"/>
  <c r="E187" i="9"/>
  <c r="F187" i="9" s="1"/>
  <c r="E186" i="9"/>
  <c r="F186" i="9" s="1"/>
  <c r="F185" i="9"/>
  <c r="E185" i="9"/>
  <c r="E184" i="9"/>
  <c r="F184" i="9" s="1"/>
  <c r="E183" i="9"/>
  <c r="F183" i="9" s="1"/>
  <c r="D180" i="9"/>
  <c r="C180" i="9"/>
  <c r="F180" i="9" s="1"/>
  <c r="D179" i="9"/>
  <c r="E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 s="1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F153" i="9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1" i="9" s="1"/>
  <c r="F140" i="9"/>
  <c r="D140" i="9"/>
  <c r="C140" i="9"/>
  <c r="E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E128" i="9" s="1"/>
  <c r="F128" i="9" s="1"/>
  <c r="D127" i="9"/>
  <c r="C127" i="9"/>
  <c r="E126" i="9"/>
  <c r="F126" i="9" s="1"/>
  <c r="F125" i="9"/>
  <c r="E125" i="9"/>
  <c r="E124" i="9"/>
  <c r="F124" i="9" s="1"/>
  <c r="E123" i="9"/>
  <c r="F123" i="9" s="1"/>
  <c r="E122" i="9"/>
  <c r="F122" i="9" s="1"/>
  <c r="F121" i="9"/>
  <c r="E121" i="9"/>
  <c r="E120" i="9"/>
  <c r="F120" i="9" s="1"/>
  <c r="E119" i="9"/>
  <c r="F119" i="9" s="1"/>
  <c r="E118" i="9"/>
  <c r="F118" i="9" s="1"/>
  <c r="D115" i="9"/>
  <c r="E115" i="9" s="1"/>
  <c r="F115" i="9" s="1"/>
  <c r="C115" i="9"/>
  <c r="D114" i="9"/>
  <c r="C114" i="9"/>
  <c r="E113" i="9"/>
  <c r="F113" i="9" s="1"/>
  <c r="E112" i="9"/>
  <c r="F112" i="9" s="1"/>
  <c r="F111" i="9"/>
  <c r="E111" i="9"/>
  <c r="E110" i="9"/>
  <c r="F110" i="9" s="1"/>
  <c r="F109" i="9"/>
  <c r="E109" i="9"/>
  <c r="E108" i="9"/>
  <c r="F108" i="9" s="1"/>
  <c r="E107" i="9"/>
  <c r="F107" i="9" s="1"/>
  <c r="E106" i="9"/>
  <c r="F106" i="9" s="1"/>
  <c r="E105" i="9"/>
  <c r="F105" i="9" s="1"/>
  <c r="D102" i="9"/>
  <c r="C102" i="9"/>
  <c r="D101" i="9"/>
  <c r="C101" i="9"/>
  <c r="F100" i="9"/>
  <c r="E100" i="9"/>
  <c r="E99" i="9"/>
  <c r="F99" i="9" s="1"/>
  <c r="F98" i="9"/>
  <c r="E98" i="9"/>
  <c r="E97" i="9"/>
  <c r="F97" i="9" s="1"/>
  <c r="F96" i="9"/>
  <c r="E96" i="9"/>
  <c r="E95" i="9"/>
  <c r="F95" i="9" s="1"/>
  <c r="E94" i="9"/>
  <c r="F94" i="9" s="1"/>
  <c r="E93" i="9"/>
  <c r="F93" i="9" s="1"/>
  <c r="E92" i="9"/>
  <c r="F92" i="9" s="1"/>
  <c r="D89" i="9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E74" i="9"/>
  <c r="F74" i="9" s="1"/>
  <c r="E73" i="9"/>
  <c r="F73" i="9" s="1"/>
  <c r="E72" i="9"/>
  <c r="F72" i="9" s="1"/>
  <c r="F71" i="9"/>
  <c r="E71" i="9"/>
  <c r="E70" i="9"/>
  <c r="F70" i="9" s="1"/>
  <c r="E69" i="9"/>
  <c r="F69" i="9" s="1"/>
  <c r="F68" i="9"/>
  <c r="E68" i="9"/>
  <c r="E67" i="9"/>
  <c r="F67" i="9" s="1"/>
  <c r="E66" i="9"/>
  <c r="F66" i="9" s="1"/>
  <c r="D63" i="9"/>
  <c r="E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 s="1"/>
  <c r="F49" i="9" s="1"/>
  <c r="C49" i="9"/>
  <c r="E48" i="9"/>
  <c r="F48" i="9" s="1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E40" i="9"/>
  <c r="F40" i="9" s="1"/>
  <c r="D37" i="9"/>
  <c r="C37" i="9"/>
  <c r="F37" i="9" s="1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E22" i="9"/>
  <c r="F22" i="9" s="1"/>
  <c r="F21" i="9"/>
  <c r="E21" i="9"/>
  <c r="E20" i="9"/>
  <c r="F20" i="9" s="1"/>
  <c r="E19" i="9"/>
  <c r="F19" i="9" s="1"/>
  <c r="E18" i="9"/>
  <c r="F18" i="9" s="1"/>
  <c r="F17" i="9"/>
  <c r="E17" i="9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/>
  <c r="D166" i="8" s="1"/>
  <c r="D154" i="8" s="1"/>
  <c r="C164" i="8"/>
  <c r="C160" i="8" s="1"/>
  <c r="E162" i="8"/>
  <c r="D162" i="8"/>
  <c r="C162" i="8"/>
  <c r="E161" i="8"/>
  <c r="D161" i="8"/>
  <c r="C161" i="8"/>
  <c r="E147" i="8"/>
  <c r="E143" i="8" s="1"/>
  <c r="D147" i="8"/>
  <c r="D143" i="8" s="1"/>
  <c r="C147" i="8"/>
  <c r="C143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E107" i="8"/>
  <c r="D107" i="8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C88" i="8"/>
  <c r="E87" i="8"/>
  <c r="D87" i="8"/>
  <c r="C87" i="8"/>
  <c r="E84" i="8"/>
  <c r="E79" i="8" s="1"/>
  <c r="D84" i="8"/>
  <c r="D79" i="8" s="1"/>
  <c r="C84" i="8"/>
  <c r="E83" i="8"/>
  <c r="D83" i="8"/>
  <c r="C83" i="8"/>
  <c r="C79" i="8" s="1"/>
  <c r="E75" i="8"/>
  <c r="D75" i="8"/>
  <c r="C75" i="8"/>
  <c r="C77" i="8" s="1"/>
  <c r="E74" i="8"/>
  <c r="D74" i="8"/>
  <c r="C74" i="8"/>
  <c r="E67" i="8"/>
  <c r="D67" i="8"/>
  <c r="C67" i="8"/>
  <c r="E38" i="8"/>
  <c r="D38" i="8"/>
  <c r="D53" i="8" s="1"/>
  <c r="D57" i="8"/>
  <c r="D62" i="8" s="1"/>
  <c r="C38" i="8"/>
  <c r="C49" i="8" s="1"/>
  <c r="E33" i="8"/>
  <c r="E34" i="8" s="1"/>
  <c r="D33" i="8"/>
  <c r="D34" i="8" s="1"/>
  <c r="E26" i="8"/>
  <c r="D26" i="8"/>
  <c r="C26" i="8"/>
  <c r="C15" i="8"/>
  <c r="E13" i="8"/>
  <c r="D13" i="8"/>
  <c r="C13" i="8"/>
  <c r="C25" i="8" s="1"/>
  <c r="F186" i="7"/>
  <c r="E186" i="7"/>
  <c r="D183" i="7"/>
  <c r="C183" i="7"/>
  <c r="C188" i="7" s="1"/>
  <c r="E188" i="7" s="1"/>
  <c r="F182" i="7"/>
  <c r="E182" i="7"/>
  <c r="F181" i="7"/>
  <c r="E181" i="7"/>
  <c r="F180" i="7"/>
  <c r="E180" i="7"/>
  <c r="E179" i="7"/>
  <c r="F179" i="7" s="1"/>
  <c r="F178" i="7"/>
  <c r="E178" i="7"/>
  <c r="F177" i="7"/>
  <c r="E177" i="7"/>
  <c r="E176" i="7"/>
  <c r="F176" i="7" s="1"/>
  <c r="E175" i="7"/>
  <c r="F175" i="7" s="1"/>
  <c r="F174" i="7"/>
  <c r="E174" i="7"/>
  <c r="E173" i="7"/>
  <c r="F173" i="7" s="1"/>
  <c r="E172" i="7"/>
  <c r="F172" i="7" s="1"/>
  <c r="E171" i="7"/>
  <c r="F171" i="7" s="1"/>
  <c r="E170" i="7"/>
  <c r="F170" i="7" s="1"/>
  <c r="D167" i="7"/>
  <c r="D188" i="7" s="1"/>
  <c r="E167" i="7"/>
  <c r="F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F152" i="7"/>
  <c r="E152" i="7"/>
  <c r="E151" i="7"/>
  <c r="F151" i="7" s="1"/>
  <c r="E150" i="7"/>
  <c r="F150" i="7" s="1"/>
  <c r="F149" i="7"/>
  <c r="E149" i="7"/>
  <c r="E148" i="7"/>
  <c r="F148" i="7" s="1"/>
  <c r="F147" i="7"/>
  <c r="E147" i="7"/>
  <c r="F146" i="7"/>
  <c r="E146" i="7"/>
  <c r="F145" i="7"/>
  <c r="E145" i="7"/>
  <c r="E144" i="7"/>
  <c r="F144" i="7" s="1"/>
  <c r="E143" i="7"/>
  <c r="F143" i="7" s="1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F136" i="7"/>
  <c r="E136" i="7"/>
  <c r="F135" i="7"/>
  <c r="E135" i="7"/>
  <c r="E134" i="7"/>
  <c r="F134" i="7" s="1"/>
  <c r="E133" i="7"/>
  <c r="F133" i="7" s="1"/>
  <c r="D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E124" i="7"/>
  <c r="F124" i="7" s="1"/>
  <c r="D121" i="7"/>
  <c r="C121" i="7"/>
  <c r="E120" i="7"/>
  <c r="F120" i="7" s="1"/>
  <c r="E119" i="7"/>
  <c r="F119" i="7" s="1"/>
  <c r="E118" i="7"/>
  <c r="F118" i="7" s="1"/>
  <c r="F117" i="7"/>
  <c r="E117" i="7"/>
  <c r="E116" i="7"/>
  <c r="F116" i="7" s="1"/>
  <c r="E115" i="7"/>
  <c r="F115" i="7" s="1"/>
  <c r="E114" i="7"/>
  <c r="F114" i="7" s="1"/>
  <c r="F113" i="7"/>
  <c r="E113" i="7"/>
  <c r="E112" i="7"/>
  <c r="F112" i="7" s="1"/>
  <c r="E111" i="7"/>
  <c r="F111" i="7" s="1"/>
  <c r="E110" i="7"/>
  <c r="F110" i="7" s="1"/>
  <c r="E109" i="7"/>
  <c r="F109" i="7" s="1"/>
  <c r="F108" i="7"/>
  <c r="E108" i="7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C90" i="7"/>
  <c r="E89" i="7"/>
  <c r="F89" i="7" s="1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E75" i="7"/>
  <c r="F75" i="7" s="1"/>
  <c r="F74" i="7"/>
  <c r="E74" i="7"/>
  <c r="E73" i="7"/>
  <c r="F73" i="7" s="1"/>
  <c r="E72" i="7"/>
  <c r="F72" i="7" s="1"/>
  <c r="E71" i="7"/>
  <c r="F71" i="7" s="1"/>
  <c r="E70" i="7"/>
  <c r="F70" i="7" s="1"/>
  <c r="F69" i="7"/>
  <c r="E69" i="7"/>
  <c r="E68" i="7"/>
  <c r="F68" i="7" s="1"/>
  <c r="E67" i="7"/>
  <c r="F67" i="7" s="1"/>
  <c r="F66" i="7"/>
  <c r="E66" i="7"/>
  <c r="E65" i="7"/>
  <c r="F65" i="7" s="1"/>
  <c r="E64" i="7"/>
  <c r="F64" i="7" s="1"/>
  <c r="E63" i="7"/>
  <c r="F63" i="7" s="1"/>
  <c r="E62" i="7"/>
  <c r="F62" i="7" s="1"/>
  <c r="D59" i="7"/>
  <c r="C59" i="7"/>
  <c r="F58" i="7"/>
  <c r="E58" i="7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E47" i="7"/>
  <c r="F47" i="7" s="1"/>
  <c r="F44" i="7"/>
  <c r="E44" i="7"/>
  <c r="D41" i="7"/>
  <c r="E41" i="7"/>
  <c r="C41" i="7"/>
  <c r="E40" i="7"/>
  <c r="F40" i="7" s="1"/>
  <c r="E39" i="7"/>
  <c r="F39" i="7" s="1"/>
  <c r="E38" i="7"/>
  <c r="F38" i="7" s="1"/>
  <c r="D35" i="7"/>
  <c r="C35" i="7"/>
  <c r="E34" i="7"/>
  <c r="F34" i="7" s="1"/>
  <c r="F33" i="7"/>
  <c r="E33" i="7"/>
  <c r="D30" i="7"/>
  <c r="C30" i="7"/>
  <c r="F29" i="7"/>
  <c r="E29" i="7"/>
  <c r="E28" i="7"/>
  <c r="F28" i="7" s="1"/>
  <c r="E27" i="7"/>
  <c r="F27" i="7" s="1"/>
  <c r="D24" i="7"/>
  <c r="C24" i="7"/>
  <c r="E23" i="7"/>
  <c r="F23" i="7" s="1"/>
  <c r="F22" i="7"/>
  <c r="E22" i="7"/>
  <c r="E21" i="7"/>
  <c r="F21" i="7" s="1"/>
  <c r="D18" i="7"/>
  <c r="C18" i="7"/>
  <c r="E17" i="7"/>
  <c r="F17" i="7" s="1"/>
  <c r="F16" i="7"/>
  <c r="E16" i="7"/>
  <c r="E15" i="7"/>
  <c r="F15" i="7" s="1"/>
  <c r="D179" i="6"/>
  <c r="C179" i="6"/>
  <c r="F178" i="6"/>
  <c r="E178" i="6"/>
  <c r="F177" i="6"/>
  <c r="E177" i="6"/>
  <c r="E176" i="6"/>
  <c r="F176" i="6" s="1"/>
  <c r="E175" i="6"/>
  <c r="F175" i="6" s="1"/>
  <c r="E174" i="6"/>
  <c r="F174" i="6" s="1"/>
  <c r="E173" i="6"/>
  <c r="F173" i="6" s="1"/>
  <c r="F172" i="6"/>
  <c r="E172" i="6"/>
  <c r="F171" i="6"/>
  <c r="E171" i="6"/>
  <c r="E170" i="6"/>
  <c r="F170" i="6" s="1"/>
  <c r="E169" i="6"/>
  <c r="F169" i="6" s="1"/>
  <c r="F168" i="6"/>
  <c r="E168" i="6"/>
  <c r="D166" i="6"/>
  <c r="C166" i="6"/>
  <c r="E166" i="6" s="1"/>
  <c r="F165" i="6"/>
  <c r="E165" i="6"/>
  <c r="F164" i="6"/>
  <c r="E164" i="6"/>
  <c r="E163" i="6"/>
  <c r="F163" i="6" s="1"/>
  <c r="E162" i="6"/>
  <c r="F162" i="6" s="1"/>
  <c r="F161" i="6"/>
  <c r="E161" i="6"/>
  <c r="E160" i="6"/>
  <c r="F160" i="6" s="1"/>
  <c r="F159" i="6"/>
  <c r="E159" i="6"/>
  <c r="F158" i="6"/>
  <c r="E158" i="6"/>
  <c r="F157" i="6"/>
  <c r="E157" i="6"/>
  <c r="E156" i="6"/>
  <c r="F156" i="6" s="1"/>
  <c r="E155" i="6"/>
  <c r="F155" i="6" s="1"/>
  <c r="D153" i="6"/>
  <c r="C153" i="6"/>
  <c r="F152" i="6"/>
  <c r="E152" i="6"/>
  <c r="F151" i="6"/>
  <c r="E151" i="6"/>
  <c r="F150" i="6"/>
  <c r="E150" i="6"/>
  <c r="E149" i="6"/>
  <c r="F149" i="6" s="1"/>
  <c r="E148" i="6"/>
  <c r="F148" i="6" s="1"/>
  <c r="E147" i="6"/>
  <c r="F147" i="6" s="1"/>
  <c r="F146" i="6"/>
  <c r="E146" i="6"/>
  <c r="F145" i="6"/>
  <c r="E145" i="6"/>
  <c r="E144" i="6"/>
  <c r="F144" i="6" s="1"/>
  <c r="E143" i="6"/>
  <c r="F143" i="6" s="1"/>
  <c r="E142" i="6"/>
  <c r="F142" i="6" s="1"/>
  <c r="D137" i="6"/>
  <c r="E137" i="6" s="1"/>
  <c r="F137" i="6" s="1"/>
  <c r="C137" i="6"/>
  <c r="F136" i="6"/>
  <c r="E136" i="6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E120" i="6"/>
  <c r="F120" i="6" s="1"/>
  <c r="F119" i="6"/>
  <c r="E119" i="6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C111" i="6"/>
  <c r="F110" i="6"/>
  <c r="E110" i="6"/>
  <c r="F109" i="6"/>
  <c r="E109" i="6"/>
  <c r="E108" i="6"/>
  <c r="F108" i="6" s="1"/>
  <c r="E107" i="6"/>
  <c r="F107" i="6" s="1"/>
  <c r="F106" i="6"/>
  <c r="E106" i="6"/>
  <c r="F105" i="6"/>
  <c r="E105" i="6"/>
  <c r="E104" i="6"/>
  <c r="F104" i="6" s="1"/>
  <c r="F103" i="6"/>
  <c r="E103" i="6"/>
  <c r="F102" i="6"/>
  <c r="E102" i="6"/>
  <c r="F101" i="6"/>
  <c r="E101" i="6"/>
  <c r="E100" i="6"/>
  <c r="F100" i="6" s="1"/>
  <c r="D94" i="6"/>
  <c r="C94" i="6"/>
  <c r="F94" i="6" s="1"/>
  <c r="D93" i="6"/>
  <c r="E93" i="6" s="1"/>
  <c r="C93" i="6"/>
  <c r="F93" i="6" s="1"/>
  <c r="D92" i="6"/>
  <c r="E92" i="6" s="1"/>
  <c r="F92" i="6" s="1"/>
  <c r="C92" i="6"/>
  <c r="D91" i="6"/>
  <c r="C91" i="6"/>
  <c r="F90" i="6"/>
  <c r="D90" i="6"/>
  <c r="E90" i="6"/>
  <c r="C90" i="6"/>
  <c r="D89" i="6"/>
  <c r="C89" i="6"/>
  <c r="D88" i="6"/>
  <c r="C88" i="6"/>
  <c r="E88" i="6" s="1"/>
  <c r="F88" i="6" s="1"/>
  <c r="D87" i="6"/>
  <c r="C87" i="6"/>
  <c r="D86" i="6"/>
  <c r="C86" i="6"/>
  <c r="D85" i="6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F76" i="6"/>
  <c r="E76" i="6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C68" i="6"/>
  <c r="F67" i="6"/>
  <c r="E67" i="6"/>
  <c r="F66" i="6"/>
  <c r="E66" i="6"/>
  <c r="F65" i="6"/>
  <c r="E65" i="6"/>
  <c r="E64" i="6"/>
  <c r="F64" i="6" s="1"/>
  <c r="F63" i="6"/>
  <c r="E63" i="6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C51" i="6"/>
  <c r="F51" i="6" s="1"/>
  <c r="D50" i="6"/>
  <c r="C50" i="6"/>
  <c r="F50" i="6" s="1"/>
  <c r="D49" i="6"/>
  <c r="C49" i="6"/>
  <c r="D48" i="6"/>
  <c r="C48" i="6"/>
  <c r="D47" i="6"/>
  <c r="C47" i="6"/>
  <c r="E47" i="6" s="1"/>
  <c r="F47" i="6" s="1"/>
  <c r="D46" i="6"/>
  <c r="C46" i="6"/>
  <c r="D45" i="6"/>
  <c r="E45" i="6"/>
  <c r="F45" i="6" s="1"/>
  <c r="C45" i="6"/>
  <c r="D44" i="6"/>
  <c r="C44" i="6"/>
  <c r="F44" i="6" s="1"/>
  <c r="D43" i="6"/>
  <c r="E43" i="6"/>
  <c r="F43" i="6" s="1"/>
  <c r="C43" i="6"/>
  <c r="D42" i="6"/>
  <c r="C42" i="6"/>
  <c r="D41" i="6"/>
  <c r="C41" i="6"/>
  <c r="D38" i="6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F51" i="5"/>
  <c r="E51" i="5"/>
  <c r="D48" i="5"/>
  <c r="C48" i="5"/>
  <c r="F47" i="5"/>
  <c r="E47" i="5"/>
  <c r="E46" i="5"/>
  <c r="F46" i="5" s="1"/>
  <c r="D41" i="5"/>
  <c r="C41" i="5"/>
  <c r="F40" i="5"/>
  <c r="E40" i="5"/>
  <c r="E39" i="5"/>
  <c r="F39" i="5" s="1"/>
  <c r="E38" i="5"/>
  <c r="F38" i="5" s="1"/>
  <c r="D33" i="5"/>
  <c r="E33" i="5" s="1"/>
  <c r="C33" i="5"/>
  <c r="F32" i="5"/>
  <c r="E32" i="5"/>
  <c r="E31" i="5"/>
  <c r="F31" i="5" s="1"/>
  <c r="E30" i="5"/>
  <c r="F30" i="5" s="1"/>
  <c r="F29" i="5"/>
  <c r="E29" i="5"/>
  <c r="E28" i="5"/>
  <c r="F28" i="5" s="1"/>
  <c r="F27" i="5"/>
  <c r="E27" i="5"/>
  <c r="E26" i="5"/>
  <c r="F26" i="5" s="1"/>
  <c r="E25" i="5"/>
  <c r="F25" i="5" s="1"/>
  <c r="F24" i="5"/>
  <c r="E24" i="5"/>
  <c r="E20" i="5"/>
  <c r="F20" i="5" s="1"/>
  <c r="E19" i="5"/>
  <c r="F19" i="5" s="1"/>
  <c r="F17" i="5"/>
  <c r="E17" i="5"/>
  <c r="D16" i="5"/>
  <c r="D18" i="5" s="1"/>
  <c r="C16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F63" i="4"/>
  <c r="E63" i="4"/>
  <c r="D61" i="4"/>
  <c r="D65" i="4" s="1"/>
  <c r="E65" i="4" s="1"/>
  <c r="F65" i="4" s="1"/>
  <c r="C61" i="4"/>
  <c r="C65" i="4" s="1"/>
  <c r="E60" i="4"/>
  <c r="F60" i="4" s="1"/>
  <c r="E59" i="4"/>
  <c r="F59" i="4" s="1"/>
  <c r="D56" i="4"/>
  <c r="C56" i="4"/>
  <c r="C75" i="4"/>
  <c r="F55" i="4"/>
  <c r="E55" i="4"/>
  <c r="E54" i="4"/>
  <c r="F54" i="4" s="1"/>
  <c r="E53" i="4"/>
  <c r="F53" i="4" s="1"/>
  <c r="E52" i="4"/>
  <c r="F52" i="4" s="1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F40" i="4"/>
  <c r="E40" i="4"/>
  <c r="D38" i="4"/>
  <c r="D41" i="4"/>
  <c r="E41" i="4" s="1"/>
  <c r="F41" i="4" s="1"/>
  <c r="C38" i="4"/>
  <c r="C41" i="4" s="1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F28" i="4"/>
  <c r="E28" i="4"/>
  <c r="F27" i="4"/>
  <c r="E27" i="4"/>
  <c r="F26" i="4"/>
  <c r="E26" i="4"/>
  <c r="E25" i="4"/>
  <c r="F25" i="4" s="1"/>
  <c r="D22" i="4"/>
  <c r="C22" i="4"/>
  <c r="C43" i="4" s="1"/>
  <c r="E21" i="4"/>
  <c r="F21" i="4" s="1"/>
  <c r="E20" i="4"/>
  <c r="F20" i="4" s="1"/>
  <c r="E19" i="4"/>
  <c r="F19" i="4" s="1"/>
  <c r="F18" i="4"/>
  <c r="E18" i="4"/>
  <c r="F17" i="4"/>
  <c r="E17" i="4"/>
  <c r="F16" i="4"/>
  <c r="E16" i="4"/>
  <c r="E15" i="4"/>
  <c r="F15" i="4" s="1"/>
  <c r="F14" i="4"/>
  <c r="E14" i="4"/>
  <c r="E13" i="4"/>
  <c r="F13" i="4" s="1"/>
  <c r="D109" i="22"/>
  <c r="F43" i="20"/>
  <c r="E17" i="17"/>
  <c r="F17" i="17" s="1"/>
  <c r="E58" i="17"/>
  <c r="E67" i="17"/>
  <c r="F67" i="17" s="1"/>
  <c r="E223" i="17"/>
  <c r="F223" i="17" s="1"/>
  <c r="E29" i="17"/>
  <c r="F29" i="17" s="1"/>
  <c r="E36" i="17"/>
  <c r="F36" i="17" s="1"/>
  <c r="D192" i="17"/>
  <c r="E229" i="17"/>
  <c r="F229" i="17" s="1"/>
  <c r="E238" i="17"/>
  <c r="F238" i="17" s="1"/>
  <c r="E295" i="17"/>
  <c r="F295" i="17" s="1"/>
  <c r="E299" i="17"/>
  <c r="C22" i="18"/>
  <c r="E36" i="18"/>
  <c r="E54" i="18"/>
  <c r="E21" i="18"/>
  <c r="E37" i="18"/>
  <c r="C144" i="18"/>
  <c r="C261" i="18"/>
  <c r="E195" i="18"/>
  <c r="E220" i="18"/>
  <c r="D245" i="18"/>
  <c r="E245" i="18" s="1"/>
  <c r="E221" i="18"/>
  <c r="E233" i="18"/>
  <c r="E216" i="18"/>
  <c r="C242" i="18"/>
  <c r="E265" i="18"/>
  <c r="C138" i="17"/>
  <c r="D103" i="17"/>
  <c r="D138" i="17"/>
  <c r="E138" i="17" s="1"/>
  <c r="C193" i="17"/>
  <c r="C194" i="17" s="1"/>
  <c r="C192" i="17"/>
  <c r="E123" i="17"/>
  <c r="E144" i="17"/>
  <c r="F144" i="17"/>
  <c r="E158" i="17"/>
  <c r="E171" i="17"/>
  <c r="E179" i="17"/>
  <c r="D124" i="17"/>
  <c r="D290" i="17"/>
  <c r="D274" i="17"/>
  <c r="D199" i="17"/>
  <c r="D283" i="17"/>
  <c r="D284" i="17" s="1"/>
  <c r="D267" i="17"/>
  <c r="D206" i="17"/>
  <c r="D261" i="17"/>
  <c r="E261" i="17" s="1"/>
  <c r="F261" i="17" s="1"/>
  <c r="D262" i="17"/>
  <c r="D263" i="17" s="1"/>
  <c r="E188" i="17"/>
  <c r="F188" i="17"/>
  <c r="E189" i="17"/>
  <c r="F189" i="17" s="1"/>
  <c r="C190" i="17"/>
  <c r="E203" i="17"/>
  <c r="F203" i="17" s="1"/>
  <c r="C206" i="17"/>
  <c r="C214" i="17"/>
  <c r="C216" i="17" s="1"/>
  <c r="E226" i="17"/>
  <c r="F226" i="17"/>
  <c r="E237" i="17"/>
  <c r="F237" i="17" s="1"/>
  <c r="C254" i="17"/>
  <c r="C261" i="17"/>
  <c r="C262" i="17"/>
  <c r="C264" i="17"/>
  <c r="C267" i="17"/>
  <c r="C268" i="17" s="1"/>
  <c r="F299" i="17"/>
  <c r="F36" i="14"/>
  <c r="F38" i="14" s="1"/>
  <c r="F40" i="14" s="1"/>
  <c r="D31" i="14"/>
  <c r="F31" i="14"/>
  <c r="H17" i="14"/>
  <c r="C15" i="13"/>
  <c r="C24" i="13" s="1"/>
  <c r="C20" i="13" s="1"/>
  <c r="E15" i="13"/>
  <c r="E17" i="13" s="1"/>
  <c r="E28" i="13" s="1"/>
  <c r="E70" i="13" s="1"/>
  <c r="E72" i="13" s="1"/>
  <c r="E69" i="13" s="1"/>
  <c r="C48" i="13"/>
  <c r="E48" i="13"/>
  <c r="E42" i="13" s="1"/>
  <c r="D20" i="12"/>
  <c r="D34" i="12" s="1"/>
  <c r="E15" i="12"/>
  <c r="F15" i="12"/>
  <c r="C17" i="12"/>
  <c r="C65" i="11"/>
  <c r="C75" i="11" s="1"/>
  <c r="E73" i="11"/>
  <c r="F73" i="11"/>
  <c r="E23" i="10"/>
  <c r="E35" i="10"/>
  <c r="E47" i="10"/>
  <c r="E48" i="10"/>
  <c r="E59" i="10"/>
  <c r="E71" i="10"/>
  <c r="E83" i="10"/>
  <c r="E84" i="10"/>
  <c r="E95" i="10"/>
  <c r="E96" i="10"/>
  <c r="E107" i="10"/>
  <c r="E114" i="10"/>
  <c r="E115" i="10"/>
  <c r="E117" i="10"/>
  <c r="E118" i="10"/>
  <c r="E120" i="10"/>
  <c r="C121" i="10"/>
  <c r="E199" i="9"/>
  <c r="F199" i="9"/>
  <c r="D25" i="8"/>
  <c r="D27" i="8" s="1"/>
  <c r="D21" i="8" s="1"/>
  <c r="D15" i="8"/>
  <c r="D24" i="8" s="1"/>
  <c r="D20" i="8" s="1"/>
  <c r="C43" i="8"/>
  <c r="E53" i="8"/>
  <c r="E43" i="8"/>
  <c r="E57" i="8"/>
  <c r="E62" i="8"/>
  <c r="D88" i="8"/>
  <c r="D77" i="8"/>
  <c r="D109" i="8"/>
  <c r="D106" i="8"/>
  <c r="E49" i="8"/>
  <c r="D49" i="8"/>
  <c r="E90" i="7"/>
  <c r="F90" i="7"/>
  <c r="E84" i="6"/>
  <c r="F84" i="6"/>
  <c r="E61" i="4"/>
  <c r="F61" i="4" s="1"/>
  <c r="D253" i="18"/>
  <c r="C145" i="18"/>
  <c r="C271" i="17"/>
  <c r="E206" i="17"/>
  <c r="E283" i="17"/>
  <c r="F283" i="17" s="1"/>
  <c r="D287" i="17"/>
  <c r="F138" i="17"/>
  <c r="C20" i="12"/>
  <c r="C34" i="12" s="1"/>
  <c r="E17" i="12"/>
  <c r="F17" i="12" s="1"/>
  <c r="D21" i="5"/>
  <c r="D35" i="5"/>
  <c r="D43" i="5" s="1"/>
  <c r="D50" i="5" s="1"/>
  <c r="D42" i="12" l="1"/>
  <c r="E34" i="12"/>
  <c r="D29" i="22"/>
  <c r="D110" i="22"/>
  <c r="D45" i="22"/>
  <c r="D53" i="22"/>
  <c r="D35" i="22"/>
  <c r="D39" i="22"/>
  <c r="E165" i="17"/>
  <c r="E229" i="18"/>
  <c r="C326" i="18"/>
  <c r="C330" i="18" s="1"/>
  <c r="E324" i="18"/>
  <c r="E51" i="6"/>
  <c r="E70" i="15"/>
  <c r="F70" i="15"/>
  <c r="C31" i="17"/>
  <c r="C32" i="17" s="1"/>
  <c r="E30" i="17"/>
  <c r="F30" i="17" s="1"/>
  <c r="E65" i="11"/>
  <c r="F65" i="11" s="1"/>
  <c r="D268" i="17"/>
  <c r="E262" i="17"/>
  <c r="F262" i="17" s="1"/>
  <c r="C284" i="17"/>
  <c r="D17" i="8"/>
  <c r="D223" i="18"/>
  <c r="C57" i="8"/>
  <c r="C62" i="8" s="1"/>
  <c r="D157" i="8"/>
  <c r="E112" i="10"/>
  <c r="E60" i="10"/>
  <c r="D17" i="13"/>
  <c r="D28" i="13" s="1"/>
  <c r="D70" i="13" s="1"/>
  <c r="D72" i="13" s="1"/>
  <c r="D69" i="13" s="1"/>
  <c r="E59" i="17"/>
  <c r="F59" i="17" s="1"/>
  <c r="C102" i="17"/>
  <c r="D146" i="17"/>
  <c r="E146" i="17" s="1"/>
  <c r="F146" i="17" s="1"/>
  <c r="E145" i="17"/>
  <c r="F145" i="17" s="1"/>
  <c r="D278" i="17"/>
  <c r="D190" i="17"/>
  <c r="D215" i="17"/>
  <c r="E19" i="20"/>
  <c r="F19" i="20" s="1"/>
  <c r="F44" i="20"/>
  <c r="C43" i="11"/>
  <c r="E43" i="11" s="1"/>
  <c r="F43" i="11" s="1"/>
  <c r="C53" i="8"/>
  <c r="F101" i="17"/>
  <c r="E25" i="8"/>
  <c r="E15" i="8"/>
  <c r="E76" i="9"/>
  <c r="F76" i="9" s="1"/>
  <c r="E24" i="13"/>
  <c r="C41" i="11"/>
  <c r="C303" i="18"/>
  <c r="E73" i="4"/>
  <c r="F73" i="4" s="1"/>
  <c r="F68" i="17"/>
  <c r="E45" i="20"/>
  <c r="F45" i="20" s="1"/>
  <c r="E116" i="10"/>
  <c r="C207" i="17"/>
  <c r="C208" i="17" s="1"/>
  <c r="C209" i="17" s="1"/>
  <c r="E92" i="15"/>
  <c r="F92" i="15" s="1"/>
  <c r="E166" i="18"/>
  <c r="D156" i="8"/>
  <c r="H31" i="14"/>
  <c r="E277" i="17"/>
  <c r="F277" i="17" s="1"/>
  <c r="C173" i="17"/>
  <c r="E219" i="18"/>
  <c r="D43" i="4"/>
  <c r="E43" i="4" s="1"/>
  <c r="F43" i="4" s="1"/>
  <c r="F33" i="5"/>
  <c r="F166" i="6"/>
  <c r="F41" i="7"/>
  <c r="E88" i="8"/>
  <c r="E90" i="8" s="1"/>
  <c r="E86" i="8" s="1"/>
  <c r="E77" i="8"/>
  <c r="E71" i="8" s="1"/>
  <c r="F108" i="10"/>
  <c r="D89" i="17"/>
  <c r="D90" i="17" s="1"/>
  <c r="E88" i="17"/>
  <c r="F88" i="17" s="1"/>
  <c r="F123" i="17"/>
  <c r="C124" i="17"/>
  <c r="E124" i="17" s="1"/>
  <c r="F124" i="17" s="1"/>
  <c r="F171" i="17"/>
  <c r="D65" i="18"/>
  <c r="D88" i="22"/>
  <c r="D71" i="8"/>
  <c r="F294" i="17"/>
  <c r="C18" i="5"/>
  <c r="E16" i="5"/>
  <c r="E174" i="18"/>
  <c r="C229" i="18"/>
  <c r="C210" i="18"/>
  <c r="C139" i="17"/>
  <c r="C175" i="18"/>
  <c r="D34" i="22"/>
  <c r="D33" i="22"/>
  <c r="D23" i="22"/>
  <c r="C17" i="13"/>
  <c r="C28" i="13" s="1"/>
  <c r="C70" i="13" s="1"/>
  <c r="C72" i="13" s="1"/>
  <c r="E183" i="7"/>
  <c r="F183" i="7" s="1"/>
  <c r="D152" i="8"/>
  <c r="D158" i="8" s="1"/>
  <c r="E180" i="9"/>
  <c r="C36" i="14"/>
  <c r="C38" i="14" s="1"/>
  <c r="C40" i="14" s="1"/>
  <c r="H33" i="14"/>
  <c r="H36" i="14" s="1"/>
  <c r="H38" i="14" s="1"/>
  <c r="H40" i="14" s="1"/>
  <c r="D271" i="17"/>
  <c r="D304" i="17" s="1"/>
  <c r="E38" i="4"/>
  <c r="D243" i="18"/>
  <c r="E22" i="22"/>
  <c r="E53" i="22" s="1"/>
  <c r="E48" i="6"/>
  <c r="F48" i="6" s="1"/>
  <c r="F204" i="9"/>
  <c r="C31" i="14"/>
  <c r="E75" i="15"/>
  <c r="F73" i="15"/>
  <c r="D144" i="18"/>
  <c r="D145" i="18" s="1"/>
  <c r="E139" i="18"/>
  <c r="D163" i="18"/>
  <c r="D156" i="18"/>
  <c r="D157" i="18" s="1"/>
  <c r="E151" i="18"/>
  <c r="C217" i="18"/>
  <c r="C241" i="18" s="1"/>
  <c r="E36" i="20"/>
  <c r="E88" i="22"/>
  <c r="C285" i="17"/>
  <c r="C288" i="17" s="1"/>
  <c r="C205" i="17"/>
  <c r="C255" i="17"/>
  <c r="E46" i="20"/>
  <c r="E22" i="4"/>
  <c r="E76" i="17"/>
  <c r="F76" i="17" s="1"/>
  <c r="C77" i="17"/>
  <c r="E179" i="18"/>
  <c r="D102" i="22"/>
  <c r="D101" i="22"/>
  <c r="D90" i="8"/>
  <c r="D86" i="8" s="1"/>
  <c r="C269" i="17"/>
  <c r="C270" i="17" s="1"/>
  <c r="D95" i="6"/>
  <c r="E24" i="9"/>
  <c r="F24" i="9" s="1"/>
  <c r="F23" i="15"/>
  <c r="E22" i="18"/>
  <c r="C284" i="18"/>
  <c r="E284" i="18" s="1"/>
  <c r="E154" i="9"/>
  <c r="E45" i="15"/>
  <c r="F45" i="15"/>
  <c r="E68" i="17"/>
  <c r="E172" i="17"/>
  <c r="D153" i="8"/>
  <c r="D125" i="17"/>
  <c r="E253" i="18"/>
  <c r="F22" i="4"/>
  <c r="D155" i="8"/>
  <c r="C122" i="10"/>
  <c r="F122" i="10" s="1"/>
  <c r="E113" i="10"/>
  <c r="I17" i="14"/>
  <c r="E204" i="17"/>
  <c r="F204" i="17" s="1"/>
  <c r="C287" i="17"/>
  <c r="E66" i="17"/>
  <c r="F66" i="17" s="1"/>
  <c r="C22" i="22"/>
  <c r="C39" i="22" s="1"/>
  <c r="F130" i="7"/>
  <c r="E130" i="7"/>
  <c r="E109" i="8"/>
  <c r="E106" i="8" s="1"/>
  <c r="F75" i="9"/>
  <c r="E204" i="9"/>
  <c r="F32" i="12"/>
  <c r="E31" i="14"/>
  <c r="C282" i="17"/>
  <c r="C281" i="17" s="1"/>
  <c r="C21" i="17"/>
  <c r="C91" i="17" s="1"/>
  <c r="F58" i="17"/>
  <c r="F135" i="17"/>
  <c r="D289" i="18"/>
  <c r="C252" i="18"/>
  <c r="C254" i="18" s="1"/>
  <c r="E279" i="18"/>
  <c r="E287" i="18"/>
  <c r="D316" i="18"/>
  <c r="D149" i="8"/>
  <c r="C166" i="8"/>
  <c r="C157" i="8" s="1"/>
  <c r="E141" i="9"/>
  <c r="D122" i="10"/>
  <c r="E27" i="13"/>
  <c r="E24" i="17"/>
  <c r="F24" i="17" s="1"/>
  <c r="E100" i="17"/>
  <c r="D43" i="18"/>
  <c r="D259" i="18" s="1"/>
  <c r="E41" i="18"/>
  <c r="E69" i="18"/>
  <c r="C163" i="18"/>
  <c r="E176" i="18"/>
  <c r="E262" i="18"/>
  <c r="E49" i="6"/>
  <c r="F49" i="6" s="1"/>
  <c r="E94" i="6"/>
  <c r="C90" i="8"/>
  <c r="C86" i="8" s="1"/>
  <c r="E166" i="8"/>
  <c r="E101" i="9"/>
  <c r="F101" i="9" s="1"/>
  <c r="E205" i="9"/>
  <c r="F205" i="9" s="1"/>
  <c r="D57" i="13"/>
  <c r="D50" i="13"/>
  <c r="E95" i="17"/>
  <c r="F95" i="17" s="1"/>
  <c r="E42" i="18"/>
  <c r="D76" i="18"/>
  <c r="D77" i="18" s="1"/>
  <c r="E167" i="18"/>
  <c r="E177" i="18"/>
  <c r="E293" i="18"/>
  <c r="E19" i="21"/>
  <c r="F19" i="21" s="1"/>
  <c r="F206" i="17"/>
  <c r="E44" i="6"/>
  <c r="E68" i="6"/>
  <c r="F68" i="6" s="1"/>
  <c r="E85" i="6"/>
  <c r="F85" i="6" s="1"/>
  <c r="E153" i="6"/>
  <c r="F153" i="6" s="1"/>
  <c r="C71" i="8"/>
  <c r="C109" i="8"/>
  <c r="C106" i="8" s="1"/>
  <c r="E50" i="9"/>
  <c r="D208" i="9"/>
  <c r="E36" i="10"/>
  <c r="I31" i="14"/>
  <c r="E39" i="18"/>
  <c r="C93" i="22"/>
  <c r="D43" i="8"/>
  <c r="E23" i="9"/>
  <c r="F23" i="9" s="1"/>
  <c r="E153" i="9"/>
  <c r="E192" i="9"/>
  <c r="F192" i="9" s="1"/>
  <c r="E24" i="10"/>
  <c r="E47" i="12"/>
  <c r="F47" i="12" s="1"/>
  <c r="E16" i="15"/>
  <c r="F16" i="15" s="1"/>
  <c r="E17" i="16"/>
  <c r="E53" i="17"/>
  <c r="F53" i="17" s="1"/>
  <c r="E55" i="18"/>
  <c r="E72" i="18"/>
  <c r="E240" i="18"/>
  <c r="E290" i="18"/>
  <c r="D303" i="18"/>
  <c r="D306" i="18" s="1"/>
  <c r="D310" i="18" s="1"/>
  <c r="F36" i="20"/>
  <c r="D46" i="20"/>
  <c r="E214" i="17"/>
  <c r="F214" i="17" s="1"/>
  <c r="D254" i="17"/>
  <c r="C62" i="17"/>
  <c r="C175" i="17"/>
  <c r="C140" i="17"/>
  <c r="C155" i="8"/>
  <c r="C156" i="8"/>
  <c r="C154" i="8"/>
  <c r="C152" i="8"/>
  <c r="C95" i="6"/>
  <c r="E95" i="6" s="1"/>
  <c r="E179" i="6"/>
  <c r="F179" i="6"/>
  <c r="C24" i="8"/>
  <c r="C17" i="8"/>
  <c r="E101" i="22"/>
  <c r="E102" i="22"/>
  <c r="C210" i="17"/>
  <c r="E145" i="18"/>
  <c r="D135" i="8"/>
  <c r="D139" i="8"/>
  <c r="D136" i="8"/>
  <c r="D138" i="8"/>
  <c r="D140" i="8"/>
  <c r="D137" i="8"/>
  <c r="C52" i="6"/>
  <c r="E41" i="6"/>
  <c r="F41" i="6"/>
  <c r="E290" i="17"/>
  <c r="C53" i="22"/>
  <c r="C29" i="22"/>
  <c r="C110" i="22"/>
  <c r="E18" i="7"/>
  <c r="F18" i="7" s="1"/>
  <c r="F188" i="7"/>
  <c r="C208" i="9"/>
  <c r="F173" i="17"/>
  <c r="C174" i="17"/>
  <c r="E75" i="11"/>
  <c r="F75" i="11" s="1"/>
  <c r="E192" i="17"/>
  <c r="F192" i="17"/>
  <c r="D52" i="6"/>
  <c r="C200" i="17"/>
  <c r="C274" i="17"/>
  <c r="C199" i="17"/>
  <c r="C290" i="17"/>
  <c r="E198" i="17"/>
  <c r="F198" i="17" s="1"/>
  <c r="E239" i="17"/>
  <c r="F239" i="17"/>
  <c r="E108" i="22"/>
  <c r="E109" i="22"/>
  <c r="D49" i="12"/>
  <c r="E42" i="6"/>
  <c r="F42" i="6"/>
  <c r="F34" i="12"/>
  <c r="C42" i="12"/>
  <c r="E42" i="12" s="1"/>
  <c r="C69" i="13"/>
  <c r="F37" i="15"/>
  <c r="E37" i="15"/>
  <c r="E20" i="12"/>
  <c r="F20" i="12" s="1"/>
  <c r="E39" i="22"/>
  <c r="E110" i="22"/>
  <c r="E24" i="7"/>
  <c r="F24" i="7" s="1"/>
  <c r="E56" i="11"/>
  <c r="F56" i="11"/>
  <c r="C21" i="13"/>
  <c r="C22" i="13"/>
  <c r="E38" i="6"/>
  <c r="F38" i="6" s="1"/>
  <c r="E35" i="17"/>
  <c r="F35" i="17" s="1"/>
  <c r="C304" i="17"/>
  <c r="C37" i="17"/>
  <c r="E44" i="17"/>
  <c r="F44" i="17"/>
  <c r="E130" i="17"/>
  <c r="F130" i="17"/>
  <c r="D207" i="17"/>
  <c r="D173" i="17"/>
  <c r="E173" i="17" s="1"/>
  <c r="D269" i="17"/>
  <c r="D285" i="17"/>
  <c r="E326" i="18"/>
  <c r="D330" i="18"/>
  <c r="E330" i="18" s="1"/>
  <c r="E264" i="17"/>
  <c r="F264" i="17" s="1"/>
  <c r="F87" i="6"/>
  <c r="E87" i="6"/>
  <c r="E121" i="7"/>
  <c r="F121" i="7"/>
  <c r="E20" i="17"/>
  <c r="F20" i="17" s="1"/>
  <c r="D21" i="17"/>
  <c r="C103" i="17"/>
  <c r="C105" i="17" s="1"/>
  <c r="E102" i="17"/>
  <c r="F102" i="17" s="1"/>
  <c r="D44" i="18"/>
  <c r="C65" i="18"/>
  <c r="C71" i="18"/>
  <c r="E60" i="18"/>
  <c r="C289" i="18"/>
  <c r="E121" i="10"/>
  <c r="F121" i="10"/>
  <c r="C266" i="17"/>
  <c r="C48" i="17"/>
  <c r="C77" i="22"/>
  <c r="C102" i="22"/>
  <c r="C103" i="22" s="1"/>
  <c r="D205" i="17"/>
  <c r="E205" i="17" s="1"/>
  <c r="F205" i="17" s="1"/>
  <c r="E81" i="6"/>
  <c r="F81" i="6"/>
  <c r="F86" i="6"/>
  <c r="E55" i="15"/>
  <c r="F55" i="15" s="1"/>
  <c r="E31" i="17"/>
  <c r="F31" i="17" s="1"/>
  <c r="D32" i="17"/>
  <c r="C306" i="17"/>
  <c r="E250" i="17"/>
  <c r="F250" i="17" s="1"/>
  <c r="E40" i="20"/>
  <c r="F40" i="20" s="1"/>
  <c r="E271" i="17"/>
  <c r="F271" i="17" s="1"/>
  <c r="F190" i="17"/>
  <c r="E190" i="17"/>
  <c r="E47" i="17"/>
  <c r="F47" i="17" s="1"/>
  <c r="D75" i="4"/>
  <c r="E75" i="4" s="1"/>
  <c r="F75" i="4" s="1"/>
  <c r="E56" i="4"/>
  <c r="F56" i="4" s="1"/>
  <c r="E41" i="5"/>
  <c r="F41" i="5" s="1"/>
  <c r="E86" i="6"/>
  <c r="F35" i="7"/>
  <c r="D207" i="9"/>
  <c r="E207" i="9" s="1"/>
  <c r="F207" i="9" s="1"/>
  <c r="E198" i="9"/>
  <c r="F198" i="9" s="1"/>
  <c r="E39" i="20"/>
  <c r="C41" i="20"/>
  <c r="E268" i="17"/>
  <c r="F268" i="17" s="1"/>
  <c r="E267" i="17"/>
  <c r="F267" i="17" s="1"/>
  <c r="E46" i="6"/>
  <c r="F46" i="6"/>
  <c r="E60" i="17"/>
  <c r="F60" i="17" s="1"/>
  <c r="D61" i="17"/>
  <c r="D280" i="17"/>
  <c r="E191" i="17"/>
  <c r="F191" i="17" s="1"/>
  <c r="D200" i="17"/>
  <c r="D193" i="17"/>
  <c r="E297" i="17"/>
  <c r="F297" i="17" s="1"/>
  <c r="E23" i="22"/>
  <c r="E34" i="22"/>
  <c r="E50" i="6"/>
  <c r="C95" i="7"/>
  <c r="E89" i="9"/>
  <c r="E119" i="10"/>
  <c r="E227" i="18"/>
  <c r="F38" i="4"/>
  <c r="E111" i="6"/>
  <c r="F111" i="6" s="1"/>
  <c r="E35" i="7"/>
  <c r="E201" i="9"/>
  <c r="F201" i="9" s="1"/>
  <c r="C286" i="17"/>
  <c r="F230" i="17"/>
  <c r="D261" i="18"/>
  <c r="E261" i="18" s="1"/>
  <c r="E188" i="18"/>
  <c r="D175" i="18"/>
  <c r="E175" i="18" s="1"/>
  <c r="D210" i="18"/>
  <c r="E205" i="18"/>
  <c r="C244" i="18"/>
  <c r="E244" i="18" s="1"/>
  <c r="C222" i="18"/>
  <c r="E222" i="18" s="1"/>
  <c r="F16" i="20"/>
  <c r="C263" i="17"/>
  <c r="E20" i="13"/>
  <c r="E48" i="17"/>
  <c r="E178" i="18"/>
  <c r="C37" i="19"/>
  <c r="C38" i="19" s="1"/>
  <c r="C127" i="19" s="1"/>
  <c r="C129" i="19" s="1"/>
  <c r="C133" i="19" s="1"/>
  <c r="C22" i="19"/>
  <c r="E21" i="21"/>
  <c r="F21" i="21" s="1"/>
  <c r="F25" i="6"/>
  <c r="E149" i="8"/>
  <c r="C61" i="13"/>
  <c r="C57" i="13" s="1"/>
  <c r="D111" i="17"/>
  <c r="E109" i="17"/>
  <c r="F109" i="17" s="1"/>
  <c r="E242" i="18"/>
  <c r="E251" i="18"/>
  <c r="E282" i="18"/>
  <c r="E29" i="4"/>
  <c r="F29" i="4" s="1"/>
  <c r="F16" i="5"/>
  <c r="E48" i="5"/>
  <c r="F48" i="5" s="1"/>
  <c r="E25" i="6"/>
  <c r="E124" i="6"/>
  <c r="F124" i="6" s="1"/>
  <c r="E59" i="7"/>
  <c r="F59" i="7" s="1"/>
  <c r="D95" i="7"/>
  <c r="E37" i="9"/>
  <c r="E62" i="9"/>
  <c r="E114" i="9"/>
  <c r="F114" i="9" s="1"/>
  <c r="F193" i="9"/>
  <c r="D20" i="13"/>
  <c r="F50" i="15"/>
  <c r="F100" i="17"/>
  <c r="C111" i="17"/>
  <c r="E110" i="17"/>
  <c r="F110" i="17" s="1"/>
  <c r="E32" i="18"/>
  <c r="D33" i="18"/>
  <c r="E38" i="18"/>
  <c r="D217" i="18"/>
  <c r="E218" i="18"/>
  <c r="E231" i="18"/>
  <c r="C64" i="19"/>
  <c r="C65" i="19" s="1"/>
  <c r="C114" i="19" s="1"/>
  <c r="C116" i="19" s="1"/>
  <c r="C119" i="19" s="1"/>
  <c r="C123" i="19" s="1"/>
  <c r="C49" i="19"/>
  <c r="E91" i="6"/>
  <c r="F91" i="6" s="1"/>
  <c r="E30" i="7"/>
  <c r="F30" i="7" s="1"/>
  <c r="C27" i="8"/>
  <c r="E127" i="9"/>
  <c r="F127" i="9" s="1"/>
  <c r="F17" i="16"/>
  <c r="E77" i="17"/>
  <c r="C159" i="17"/>
  <c r="E164" i="18"/>
  <c r="E89" i="6"/>
  <c r="F89" i="6" s="1"/>
  <c r="F50" i="9"/>
  <c r="F170" i="17"/>
  <c r="E170" i="17"/>
  <c r="C43" i="18"/>
  <c r="E27" i="8"/>
  <c r="E80" i="13"/>
  <c r="E77" i="13" s="1"/>
  <c r="G33" i="14"/>
  <c r="F75" i="15"/>
  <c r="E102" i="9"/>
  <c r="F102" i="9" s="1"/>
  <c r="E227" i="17"/>
  <c r="F227" i="17" s="1"/>
  <c r="C156" i="18"/>
  <c r="C46" i="20"/>
  <c r="F46" i="20" s="1"/>
  <c r="C149" i="8"/>
  <c r="D42" i="13"/>
  <c r="F65" i="15"/>
  <c r="F21" i="16"/>
  <c r="D283" i="18"/>
  <c r="E283" i="18" s="1"/>
  <c r="E281" i="18"/>
  <c r="E25" i="20"/>
  <c r="F25" i="20" s="1"/>
  <c r="C33" i="22"/>
  <c r="C23" i="22"/>
  <c r="D121" i="18" l="1"/>
  <c r="D115" i="18"/>
  <c r="D111" i="18"/>
  <c r="D114" i="18"/>
  <c r="D112" i="18"/>
  <c r="D123" i="18"/>
  <c r="D126" i="18"/>
  <c r="D122" i="18"/>
  <c r="D128" i="18" s="1"/>
  <c r="D125" i="18"/>
  <c r="D124" i="18"/>
  <c r="D109" i="18"/>
  <c r="D113" i="18"/>
  <c r="D110" i="18"/>
  <c r="D116" i="18" s="1"/>
  <c r="D117" i="18" s="1"/>
  <c r="D127" i="18"/>
  <c r="E310" i="18"/>
  <c r="F284" i="17"/>
  <c r="E284" i="17"/>
  <c r="E156" i="18"/>
  <c r="C272" i="17"/>
  <c r="C273" i="17" s="1"/>
  <c r="E43" i="18"/>
  <c r="E45" i="22"/>
  <c r="C35" i="22"/>
  <c r="D22" i="13"/>
  <c r="E306" i="18"/>
  <c r="D255" i="17"/>
  <c r="E255" i="17" s="1"/>
  <c r="F255" i="17" s="1"/>
  <c r="E215" i="17"/>
  <c r="F215" i="17" s="1"/>
  <c r="D168" i="18"/>
  <c r="E35" i="22"/>
  <c r="C45" i="22"/>
  <c r="E154" i="8"/>
  <c r="E152" i="8"/>
  <c r="E155" i="8"/>
  <c r="E156" i="8"/>
  <c r="E157" i="8"/>
  <c r="E153" i="8"/>
  <c r="E24" i="8"/>
  <c r="E17" i="8"/>
  <c r="D103" i="22"/>
  <c r="E243" i="18"/>
  <c r="D252" i="18"/>
  <c r="E316" i="18"/>
  <c r="D320" i="18"/>
  <c r="E320" i="18" s="1"/>
  <c r="C196" i="17"/>
  <c r="C126" i="17"/>
  <c r="C127" i="17" s="1"/>
  <c r="C234" i="18"/>
  <c r="C211" i="18"/>
  <c r="C180" i="18"/>
  <c r="E278" i="17"/>
  <c r="F278" i="17" s="1"/>
  <c r="D279" i="17"/>
  <c r="E279" i="17" s="1"/>
  <c r="F279" i="17" s="1"/>
  <c r="E289" i="18"/>
  <c r="E52" i="6"/>
  <c r="F52" i="6" s="1"/>
  <c r="E163" i="18"/>
  <c r="D66" i="18"/>
  <c r="D247" i="18" s="1"/>
  <c r="D246" i="18"/>
  <c r="D294" i="18"/>
  <c r="D37" i="22"/>
  <c r="D112" i="22"/>
  <c r="D47" i="22"/>
  <c r="D55" i="22"/>
  <c r="E29" i="22"/>
  <c r="E47" i="22" s="1"/>
  <c r="C153" i="8"/>
  <c r="C158" i="8" s="1"/>
  <c r="E22" i="13"/>
  <c r="E21" i="13"/>
  <c r="E287" i="17"/>
  <c r="F287" i="17" s="1"/>
  <c r="D169" i="18"/>
  <c r="D54" i="22"/>
  <c r="D46" i="22"/>
  <c r="D40" i="22"/>
  <c r="D30" i="22"/>
  <c r="D36" i="22"/>
  <c r="D111" i="22"/>
  <c r="E303" i="18"/>
  <c r="C306" i="18"/>
  <c r="C310" i="18" s="1"/>
  <c r="D28" i="8"/>
  <c r="D112" i="8"/>
  <c r="D111" i="8" s="1"/>
  <c r="E95" i="7"/>
  <c r="D216" i="17"/>
  <c r="E216" i="17" s="1"/>
  <c r="F216" i="17" s="1"/>
  <c r="E122" i="10"/>
  <c r="F18" i="5"/>
  <c r="C21" i="5"/>
  <c r="E18" i="5"/>
  <c r="E89" i="17"/>
  <c r="F89" i="17" s="1"/>
  <c r="E41" i="11"/>
  <c r="F41" i="11" s="1"/>
  <c r="E144" i="18"/>
  <c r="E111" i="22"/>
  <c r="E40" i="22"/>
  <c r="E36" i="22"/>
  <c r="E46" i="22"/>
  <c r="E54" i="22"/>
  <c r="E30" i="22"/>
  <c r="C141" i="17"/>
  <c r="C291" i="17"/>
  <c r="C289" i="17"/>
  <c r="E21" i="8"/>
  <c r="E20" i="8"/>
  <c r="D266" i="17"/>
  <c r="D194" i="17"/>
  <c r="D282" i="17"/>
  <c r="E282" i="17" s="1"/>
  <c r="F282" i="17" s="1"/>
  <c r="E193" i="17"/>
  <c r="F193" i="17" s="1"/>
  <c r="C44" i="18"/>
  <c r="E200" i="17"/>
  <c r="F200" i="17" s="1"/>
  <c r="E306" i="17"/>
  <c r="D263" i="18"/>
  <c r="E285" i="17"/>
  <c r="F285" i="17" s="1"/>
  <c r="D288" i="17"/>
  <c r="D286" i="17"/>
  <c r="E286" i="17" s="1"/>
  <c r="F286" i="17" s="1"/>
  <c r="C92" i="17"/>
  <c r="D141" i="8"/>
  <c r="E103" i="22"/>
  <c r="F95" i="6"/>
  <c r="E168" i="18"/>
  <c r="D241" i="18"/>
  <c r="E241" i="18" s="1"/>
  <c r="E217" i="18"/>
  <c r="D175" i="17"/>
  <c r="D105" i="17"/>
  <c r="E32" i="17"/>
  <c r="F32" i="17" s="1"/>
  <c r="D62" i="17"/>
  <c r="D210" i="17"/>
  <c r="D140" i="17"/>
  <c r="D258" i="18"/>
  <c r="D88" i="18"/>
  <c r="D101" i="18"/>
  <c r="D98" i="18"/>
  <c r="D96" i="18"/>
  <c r="D84" i="18"/>
  <c r="D97" i="18"/>
  <c r="D83" i="18"/>
  <c r="D86" i="18"/>
  <c r="D100" i="18"/>
  <c r="E44" i="18"/>
  <c r="D95" i="18"/>
  <c r="D89" i="18"/>
  <c r="D87" i="18"/>
  <c r="D99" i="18"/>
  <c r="D85" i="18"/>
  <c r="D270" i="17"/>
  <c r="E270" i="17" s="1"/>
  <c r="D272" i="17"/>
  <c r="E269" i="17"/>
  <c r="F269" i="17" s="1"/>
  <c r="E304" i="17"/>
  <c r="F304" i="17"/>
  <c r="E112" i="22"/>
  <c r="E55" i="22"/>
  <c r="E37" i="22"/>
  <c r="F290" i="17"/>
  <c r="E208" i="9"/>
  <c r="F208" i="9" s="1"/>
  <c r="C112" i="22"/>
  <c r="C47" i="22"/>
  <c r="C37" i="22"/>
  <c r="C55" i="22"/>
  <c r="G36" i="14"/>
  <c r="G38" i="14" s="1"/>
  <c r="G40" i="14" s="1"/>
  <c r="I33" i="14"/>
  <c r="I36" i="14" s="1"/>
  <c r="I38" i="14" s="1"/>
  <c r="I40" i="14" s="1"/>
  <c r="E33" i="18"/>
  <c r="E71" i="18"/>
  <c r="C76" i="18"/>
  <c r="C259" i="18" s="1"/>
  <c r="C28" i="8"/>
  <c r="C99" i="8" s="1"/>
  <c r="C101" i="8" s="1"/>
  <c r="C98" i="8" s="1"/>
  <c r="C112" i="8"/>
  <c r="C111" i="8" s="1"/>
  <c r="C40" i="22"/>
  <c r="C111" i="22"/>
  <c r="C46" i="22"/>
  <c r="C36" i="22"/>
  <c r="C54" i="22"/>
  <c r="C30" i="22"/>
  <c r="F270" i="17"/>
  <c r="C265" i="17"/>
  <c r="C136" i="8"/>
  <c r="C138" i="8"/>
  <c r="C135" i="8"/>
  <c r="C139" i="8"/>
  <c r="C137" i="8"/>
  <c r="C140" i="8"/>
  <c r="F159" i="17"/>
  <c r="E159" i="17"/>
  <c r="C161" i="17"/>
  <c r="C66" i="18"/>
  <c r="C294" i="18"/>
  <c r="E294" i="18" s="1"/>
  <c r="E65" i="18"/>
  <c r="C106" i="17"/>
  <c r="C63" i="17"/>
  <c r="F95" i="7"/>
  <c r="E37" i="17"/>
  <c r="F37" i="17" s="1"/>
  <c r="C21" i="8"/>
  <c r="C20" i="8"/>
  <c r="E263" i="17"/>
  <c r="F263" i="17" s="1"/>
  <c r="E280" i="17"/>
  <c r="F280" i="17" s="1"/>
  <c r="C109" i="22"/>
  <c r="C108" i="22"/>
  <c r="F42" i="12"/>
  <c r="C49" i="12"/>
  <c r="E49" i="12" s="1"/>
  <c r="E199" i="17"/>
  <c r="F199" i="17" s="1"/>
  <c r="E254" i="17"/>
  <c r="F254" i="17" s="1"/>
  <c r="C223" i="18"/>
  <c r="C246" i="18"/>
  <c r="E246" i="18" s="1"/>
  <c r="D126" i="17"/>
  <c r="D91" i="17"/>
  <c r="E21" i="17"/>
  <c r="F21" i="17" s="1"/>
  <c r="D161" i="17"/>
  <c r="D49" i="17"/>
  <c r="E138" i="8"/>
  <c r="E135" i="8"/>
  <c r="E140" i="8"/>
  <c r="E139" i="8"/>
  <c r="E137" i="8"/>
  <c r="E136" i="8"/>
  <c r="C176" i="17"/>
  <c r="F176" i="17" s="1"/>
  <c r="E210" i="18"/>
  <c r="D180" i="18"/>
  <c r="E180" i="18" s="1"/>
  <c r="D234" i="18"/>
  <c r="E234" i="18" s="1"/>
  <c r="D211" i="18"/>
  <c r="C157" i="18"/>
  <c r="C168" i="18"/>
  <c r="E111" i="17"/>
  <c r="F111" i="17" s="1"/>
  <c r="E61" i="17"/>
  <c r="F61" i="17" s="1"/>
  <c r="D104" i="17"/>
  <c r="D139" i="17"/>
  <c r="E139" i="17" s="1"/>
  <c r="F139" i="17" s="1"/>
  <c r="D174" i="17"/>
  <c r="E174" i="17" s="1"/>
  <c r="F174" i="17" s="1"/>
  <c r="F39" i="20"/>
  <c r="E41" i="20"/>
  <c r="F41" i="20" s="1"/>
  <c r="F48" i="17"/>
  <c r="C195" i="17"/>
  <c r="C90" i="17"/>
  <c r="C49" i="17"/>
  <c r="C125" i="17"/>
  <c r="C160" i="17"/>
  <c r="C104" i="17"/>
  <c r="E103" i="17"/>
  <c r="F103" i="17" s="1"/>
  <c r="E207" i="17"/>
  <c r="F207" i="17" s="1"/>
  <c r="D208" i="17"/>
  <c r="E208" i="17" s="1"/>
  <c r="F208" i="17" s="1"/>
  <c r="C300" i="17"/>
  <c r="E274" i="17"/>
  <c r="F274" i="17" s="1"/>
  <c r="C263" i="18" l="1"/>
  <c r="E259" i="18"/>
  <c r="C235" i="18"/>
  <c r="C181" i="18"/>
  <c r="E158" i="8"/>
  <c r="D295" i="18"/>
  <c r="D99" i="8"/>
  <c r="D101" i="8" s="1"/>
  <c r="D98" i="8" s="1"/>
  <c r="D22" i="8"/>
  <c r="E28" i="8"/>
  <c r="E112" i="8"/>
  <c r="E111" i="8" s="1"/>
  <c r="E263" i="18"/>
  <c r="C22" i="8"/>
  <c r="C35" i="5"/>
  <c r="E21" i="5"/>
  <c r="F21" i="5" s="1"/>
  <c r="D38" i="22"/>
  <c r="D48" i="22"/>
  <c r="D56" i="22"/>
  <c r="D113" i="22"/>
  <c r="D254" i="18"/>
  <c r="E254" i="18" s="1"/>
  <c r="E252" i="18"/>
  <c r="D281" i="17"/>
  <c r="E281" i="17" s="1"/>
  <c r="F281" i="17" s="1"/>
  <c r="D129" i="18"/>
  <c r="D131" i="18" s="1"/>
  <c r="C247" i="18"/>
  <c r="E247" i="18" s="1"/>
  <c r="E223" i="18"/>
  <c r="D176" i="17"/>
  <c r="E176" i="17" s="1"/>
  <c r="E175" i="17"/>
  <c r="F175" i="17" s="1"/>
  <c r="C324" i="17"/>
  <c r="C113" i="17"/>
  <c r="D195" i="17"/>
  <c r="E195" i="17" s="1"/>
  <c r="F195" i="17" s="1"/>
  <c r="E194" i="17"/>
  <c r="F194" i="17" s="1"/>
  <c r="D162" i="17"/>
  <c r="E161" i="17"/>
  <c r="C38" i="22"/>
  <c r="C113" i="22"/>
  <c r="C56" i="22"/>
  <c r="C48" i="22"/>
  <c r="E272" i="17"/>
  <c r="F272" i="17" s="1"/>
  <c r="D273" i="17"/>
  <c r="E273" i="17" s="1"/>
  <c r="F273" i="17" s="1"/>
  <c r="E266" i="17"/>
  <c r="F266" i="17" s="1"/>
  <c r="D265" i="17"/>
  <c r="E265" i="17" s="1"/>
  <c r="F265" i="17" s="1"/>
  <c r="E48" i="22"/>
  <c r="E113" i="22"/>
  <c r="E38" i="22"/>
  <c r="E56" i="22"/>
  <c r="E157" i="18"/>
  <c r="C169" i="18"/>
  <c r="E169" i="18" s="1"/>
  <c r="E76" i="18"/>
  <c r="C77" i="18"/>
  <c r="D264" i="18"/>
  <c r="E288" i="17"/>
  <c r="F288" i="17" s="1"/>
  <c r="D289" i="17"/>
  <c r="E289" i="17" s="1"/>
  <c r="F289" i="17" s="1"/>
  <c r="D291" i="17"/>
  <c r="C305" i="17"/>
  <c r="E160" i="17"/>
  <c r="F160" i="17" s="1"/>
  <c r="D127" i="17"/>
  <c r="E126" i="17"/>
  <c r="F126" i="17" s="1"/>
  <c r="D211" i="17"/>
  <c r="E211" i="17" s="1"/>
  <c r="E210" i="17"/>
  <c r="F210" i="17" s="1"/>
  <c r="E87" i="18"/>
  <c r="D90" i="18"/>
  <c r="D63" i="17"/>
  <c r="E63" i="17" s="1"/>
  <c r="F63" i="17" s="1"/>
  <c r="E62" i="17"/>
  <c r="F62" i="17" s="1"/>
  <c r="C322" i="17"/>
  <c r="C211" i="17"/>
  <c r="C148" i="17"/>
  <c r="E211" i="18"/>
  <c r="D235" i="18"/>
  <c r="E235" i="18" s="1"/>
  <c r="D181" i="18"/>
  <c r="E181" i="18" s="1"/>
  <c r="E300" i="17"/>
  <c r="F300" i="17" s="1"/>
  <c r="C295" i="18"/>
  <c r="E66" i="18"/>
  <c r="C97" i="18"/>
  <c r="E97" i="18" s="1"/>
  <c r="C258" i="18"/>
  <c r="C95" i="18"/>
  <c r="E95" i="18" s="1"/>
  <c r="C100" i="18"/>
  <c r="E100" i="18" s="1"/>
  <c r="C88" i="18"/>
  <c r="E88" i="18" s="1"/>
  <c r="C101" i="18"/>
  <c r="E101" i="18" s="1"/>
  <c r="C99" i="18"/>
  <c r="E99" i="18" s="1"/>
  <c r="C84" i="18"/>
  <c r="C83" i="18"/>
  <c r="C85" i="18"/>
  <c r="E85" i="18" s="1"/>
  <c r="C86" i="18"/>
  <c r="E86" i="18" s="1"/>
  <c r="C87" i="18"/>
  <c r="C89" i="18"/>
  <c r="E89" i="18" s="1"/>
  <c r="C98" i="18"/>
  <c r="E98" i="18" s="1"/>
  <c r="C96" i="18"/>
  <c r="E104" i="17"/>
  <c r="F104" i="17" s="1"/>
  <c r="E90" i="17"/>
  <c r="F90" i="17" s="1"/>
  <c r="D209" i="17"/>
  <c r="E209" i="17" s="1"/>
  <c r="F209" i="17" s="1"/>
  <c r="E141" i="8"/>
  <c r="F49" i="12"/>
  <c r="F161" i="17"/>
  <c r="C162" i="17"/>
  <c r="D102" i="18"/>
  <c r="E96" i="18"/>
  <c r="E49" i="17"/>
  <c r="D50" i="17"/>
  <c r="E91" i="17"/>
  <c r="F91" i="17" s="1"/>
  <c r="D92" i="17"/>
  <c r="E140" i="17"/>
  <c r="F140" i="17" s="1"/>
  <c r="D141" i="17"/>
  <c r="E125" i="17"/>
  <c r="F125" i="17" s="1"/>
  <c r="C141" i="8"/>
  <c r="C50" i="17"/>
  <c r="F49" i="17"/>
  <c r="D196" i="17"/>
  <c r="D103" i="18"/>
  <c r="D106" i="17"/>
  <c r="E106" i="17" s="1"/>
  <c r="F106" i="17" s="1"/>
  <c r="E105" i="17"/>
  <c r="F105" i="17" s="1"/>
  <c r="E35" i="5" l="1"/>
  <c r="F35" i="5" s="1"/>
  <c r="C43" i="5"/>
  <c r="E295" i="18"/>
  <c r="E99" i="8"/>
  <c r="E101" i="8" s="1"/>
  <c r="E98" i="8" s="1"/>
  <c r="E22" i="8"/>
  <c r="E50" i="17"/>
  <c r="F50" i="17" s="1"/>
  <c r="D70" i="17"/>
  <c r="C309" i="17"/>
  <c r="C125" i="18"/>
  <c r="E125" i="18" s="1"/>
  <c r="C126" i="18"/>
  <c r="E126" i="18" s="1"/>
  <c r="C112" i="18"/>
  <c r="E112" i="18" s="1"/>
  <c r="C111" i="18"/>
  <c r="E111" i="18" s="1"/>
  <c r="C127" i="18"/>
  <c r="E127" i="18" s="1"/>
  <c r="C124" i="18"/>
  <c r="E124" i="18" s="1"/>
  <c r="C122" i="18"/>
  <c r="C123" i="18"/>
  <c r="E123" i="18" s="1"/>
  <c r="C109" i="18"/>
  <c r="C110" i="18"/>
  <c r="C114" i="18"/>
  <c r="E114" i="18" s="1"/>
  <c r="C113" i="18"/>
  <c r="E113" i="18" s="1"/>
  <c r="C121" i="18"/>
  <c r="C115" i="18"/>
  <c r="E115" i="18" s="1"/>
  <c r="E77" i="18"/>
  <c r="F211" i="17"/>
  <c r="D305" i="17"/>
  <c r="E291" i="17"/>
  <c r="F291" i="17" s="1"/>
  <c r="C264" i="18"/>
  <c r="C266" i="18" s="1"/>
  <c r="C267" i="18"/>
  <c r="D322" i="17"/>
  <c r="E322" i="17" s="1"/>
  <c r="F322" i="17" s="1"/>
  <c r="E141" i="17"/>
  <c r="F141" i="17" s="1"/>
  <c r="C90" i="18"/>
  <c r="C91" i="18" s="1"/>
  <c r="E84" i="18"/>
  <c r="D91" i="18"/>
  <c r="D324" i="17"/>
  <c r="D113" i="17"/>
  <c r="E113" i="17" s="1"/>
  <c r="F113" i="17" s="1"/>
  <c r="E92" i="17"/>
  <c r="F92" i="17" s="1"/>
  <c r="E264" i="18"/>
  <c r="D266" i="18"/>
  <c r="E162" i="17"/>
  <c r="D183" i="17"/>
  <c r="D323" i="17"/>
  <c r="C70" i="17"/>
  <c r="C103" i="18"/>
  <c r="E103" i="18" s="1"/>
  <c r="D148" i="17"/>
  <c r="E148" i="17" s="1"/>
  <c r="F148" i="17" s="1"/>
  <c r="E127" i="17"/>
  <c r="F127" i="17" s="1"/>
  <c r="E83" i="18"/>
  <c r="E196" i="17"/>
  <c r="F196" i="17" s="1"/>
  <c r="D197" i="17"/>
  <c r="F162" i="17"/>
  <c r="C183" i="17"/>
  <c r="F183" i="17" s="1"/>
  <c r="C323" i="17"/>
  <c r="F323" i="17" s="1"/>
  <c r="C197" i="17"/>
  <c r="C102" i="18"/>
  <c r="E102" i="18" s="1"/>
  <c r="E258" i="18"/>
  <c r="E197" i="17" l="1"/>
  <c r="E183" i="17"/>
  <c r="E43" i="5"/>
  <c r="C50" i="5"/>
  <c r="E50" i="5" s="1"/>
  <c r="F50" i="5" s="1"/>
  <c r="F43" i="5"/>
  <c r="C105" i="18"/>
  <c r="C117" i="18"/>
  <c r="E109" i="18"/>
  <c r="C310" i="17"/>
  <c r="E90" i="18"/>
  <c r="E122" i="18"/>
  <c r="C128" i="18"/>
  <c r="E128" i="18" s="1"/>
  <c r="D325" i="17"/>
  <c r="E324" i="17"/>
  <c r="F324" i="17" s="1"/>
  <c r="C269" i="18"/>
  <c r="C268" i="18"/>
  <c r="F197" i="17"/>
  <c r="E323" i="17"/>
  <c r="E121" i="18"/>
  <c r="E70" i="17"/>
  <c r="F70" i="17" s="1"/>
  <c r="D309" i="17"/>
  <c r="E305" i="17"/>
  <c r="F305" i="17" s="1"/>
  <c r="E91" i="18"/>
  <c r="D105" i="18"/>
  <c r="E266" i="18"/>
  <c r="D267" i="18"/>
  <c r="C116" i="18"/>
  <c r="E116" i="18" s="1"/>
  <c r="E110" i="18"/>
  <c r="C325" i="17"/>
  <c r="E105" i="18" l="1"/>
  <c r="C271" i="18"/>
  <c r="E309" i="17"/>
  <c r="F309" i="17" s="1"/>
  <c r="D310" i="17"/>
  <c r="E325" i="17"/>
  <c r="C131" i="18"/>
  <c r="E131" i="18" s="1"/>
  <c r="E117" i="18"/>
  <c r="E267" i="18"/>
  <c r="D269" i="18"/>
  <c r="E269" i="18" s="1"/>
  <c r="D268" i="18"/>
  <c r="C129" i="18"/>
  <c r="E129" i="18" s="1"/>
  <c r="C312" i="17"/>
  <c r="F325" i="17"/>
  <c r="C313" i="17" l="1"/>
  <c r="D312" i="17"/>
  <c r="E310" i="17"/>
  <c r="F310" i="17" s="1"/>
  <c r="E268" i="18"/>
  <c r="D271" i="18"/>
  <c r="E271" i="18" s="1"/>
  <c r="E312" i="17" l="1"/>
  <c r="F312" i="17" s="1"/>
  <c r="D313" i="17"/>
  <c r="C251" i="17"/>
  <c r="C256" i="17"/>
  <c r="C315" i="17"/>
  <c r="C314" i="17"/>
  <c r="D314" i="17" l="1"/>
  <c r="E313" i="17"/>
  <c r="F313" i="17" s="1"/>
  <c r="D315" i="17"/>
  <c r="E315" i="17" s="1"/>
  <c r="F315" i="17" s="1"/>
  <c r="D251" i="17"/>
  <c r="E251" i="17" s="1"/>
  <c r="F251" i="17" s="1"/>
  <c r="D256" i="17"/>
  <c r="C318" i="17"/>
  <c r="C257" i="17"/>
  <c r="E314" i="17" l="1"/>
  <c r="F314" i="17" s="1"/>
  <c r="D318" i="17"/>
  <c r="E318" i="17" s="1"/>
  <c r="F318" i="17" s="1"/>
  <c r="D257" i="17"/>
  <c r="E257" i="17" s="1"/>
  <c r="F257" i="17" s="1"/>
  <c r="E256" i="17"/>
  <c r="F256" i="17" s="1"/>
</calcChain>
</file>

<file path=xl/sharedStrings.xml><?xml version="1.0" encoding="utf-8"?>
<sst xmlns="http://schemas.openxmlformats.org/spreadsheetml/2006/main" count="2333" uniqueCount="1008">
  <si>
    <t>WATERBURY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</si>
  <si>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</si>
  <si>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</si>
  <si>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</si>
  <si>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</si>
  <si>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</si>
  <si>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</si>
  <si>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</si>
  <si>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</si>
  <si>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</si>
  <si>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</si>
  <si>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</si>
  <si>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</si>
  <si>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</si>
  <si>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</si>
  <si>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</si>
  <si>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</si>
  <si>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</si>
  <si>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</si>
  <si>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</si>
  <si>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</si>
  <si>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</si>
  <si>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</si>
  <si>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</si>
  <si>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</si>
  <si>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</si>
  <si>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</si>
  <si>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</si>
  <si>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</si>
  <si>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</si>
  <si>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</si>
  <si>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</si>
  <si>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</si>
  <si>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</si>
  <si>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</si>
  <si>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</si>
  <si>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</si>
  <si>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</si>
  <si>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</si>
  <si>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</si>
  <si>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</si>
  <si>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</si>
  <si>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</si>
  <si>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</si>
  <si>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</si>
  <si>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</si>
  <si>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</si>
  <si>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</si>
  <si>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</si>
  <si>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</si>
  <si>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</si>
  <si>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</si>
  <si>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</si>
  <si>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</si>
  <si>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</si>
  <si>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</si>
  <si>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</si>
  <si>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</si>
  <si>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</si>
  <si>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</si>
  <si>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</si>
  <si>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</si>
  <si>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</si>
  <si>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</si>
  <si>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</si>
  <si>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</si>
  <si>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</si>
  <si>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</si>
  <si>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</si>
  <si>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</si>
  <si>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</si>
  <si>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</si>
  <si>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</si>
  <si>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</si>
  <si>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</si>
  <si>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</si>
  <si>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</si>
  <si>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</si>
  <si>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</si>
  <si>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</si>
  <si>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</si>
  <si>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</si>
  <si>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</si>
  <si>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</si>
  <si>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</si>
  <si>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</si>
  <si>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</si>
  <si>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</si>
  <si>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</si>
  <si>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</si>
  <si>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</si>
  <si>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</si>
  <si>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</si>
  <si>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</si>
  <si>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</si>
  <si>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</si>
  <si>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</si>
  <si>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</si>
  <si>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</si>
  <si>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</si>
  <si>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</si>
  <si>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</si>
  <si>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</si>
  <si>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</si>
  <si>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</si>
  <si>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</si>
  <si>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</si>
  <si>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</si>
  <si>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</si>
  <si>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</si>
  <si>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</si>
  <si>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</si>
  <si>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</si>
  <si>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</si>
  <si>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</si>
  <si>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</si>
  <si>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</si>
  <si>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</si>
  <si>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</si>
  <si>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</si>
  <si>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</si>
  <si>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</si>
  <si>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</si>
  <si>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</si>
  <si>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</si>
  <si>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</si>
  <si>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</si>
  <si>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</si>
  <si>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</si>
  <si>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</si>
  <si>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</si>
  <si>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</si>
  <si>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</si>
  <si>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</si>
  <si>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</si>
  <si>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</si>
  <si>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</si>
  <si>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</si>
  <si>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</si>
  <si>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</si>
  <si>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</si>
  <si>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</si>
  <si>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</si>
  <si>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</si>
  <si>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</si>
  <si>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</si>
  <si>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</si>
  <si>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</si>
  <si>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</si>
  <si>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</si>
  <si>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</si>
  <si>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</si>
  <si>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</si>
  <si>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</si>
  <si>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</si>
  <si>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</si>
  <si>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</si>
  <si>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</si>
  <si>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</si>
  <si>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</si>
  <si>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</si>
  <si>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</si>
  <si>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</si>
  <si>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</si>
  <si>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</si>
  <si>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</si>
  <si>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</si>
  <si>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</si>
  <si>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</si>
  <si>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</si>
  <si>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</si>
  <si>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</si>
  <si>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</si>
  <si>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</si>
  <si>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</si>
  <si>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</si>
  <si>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</si>
  <si>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</si>
  <si>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</si>
  <si>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</si>
  <si>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</si>
  <si>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</si>
  <si>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</si>
  <si>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</si>
  <si>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</si>
  <si>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</si>
  <si>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</si>
  <si>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</si>
  <si>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</si>
  <si>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</si>
  <si>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</si>
  <si>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</si>
  <si>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</si>
  <si>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</si>
  <si>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</si>
  <si>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</si>
  <si>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</si>
  <si>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</si>
  <si>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</si>
  <si>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</si>
  <si>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</si>
  <si>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</si>
  <si>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</si>
  <si>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</si>
  <si>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</si>
  <si>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</si>
  <si>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</si>
  <si>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</si>
  <si>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</si>
  <si>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</si>
  <si>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</si>
  <si>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</si>
  <si>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</si>
  <si>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</si>
  <si>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</si>
  <si>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</si>
  <si>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</si>
  <si>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</si>
  <si>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</si>
  <si>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</si>
  <si>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</si>
  <si>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</si>
  <si>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</si>
  <si>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</si>
  <si>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</si>
  <si>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</si>
  <si>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</si>
  <si>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</si>
  <si>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</si>
  <si>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</si>
  <si>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</si>
  <si>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</si>
  <si>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</si>
  <si>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</si>
  <si>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</si>
  <si>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</si>
  <si>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</si>
  <si>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</si>
  <si>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</si>
  <si>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</si>
  <si>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</si>
  <si>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</si>
  <si>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</si>
  <si>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</si>
  <si>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</si>
  <si>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</si>
  <si>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</si>
  <si>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</si>
  <si>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</si>
  <si>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</si>
  <si>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</si>
  <si>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</si>
  <si>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</si>
  <si>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</si>
  <si>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</si>
  <si>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</si>
  <si>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</si>
  <si>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</si>
  <si>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</si>
  <si>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</si>
  <si>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</si>
  <si>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</si>
  <si>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</si>
  <si>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</si>
  <si>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</si>
  <si>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</si>
  <si>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</si>
  <si>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</si>
  <si>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</si>
  <si>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</si>
  <si>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</si>
  <si>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</si>
  <si>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</si>
  <si>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</si>
  <si>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</si>
  <si>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</si>
  <si>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</si>
  <si>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</si>
  <si>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</si>
  <si>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</si>
  <si>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</si>
  <si>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</si>
  <si>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</si>
  <si>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</si>
  <si>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</si>
  <si>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</si>
  <si>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</si>
  <si>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</si>
  <si>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</si>
  <si>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</si>
  <si>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</si>
  <si>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</si>
  <si>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</si>
  <si>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</si>
  <si>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</si>
  <si>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</si>
  <si>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</si>
  <si>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</si>
  <si>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</si>
  <si>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</si>
  <si>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</si>
  <si>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</si>
  <si>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</si>
  <si>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</si>
  <si>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</si>
  <si>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</si>
  <si>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</si>
  <si>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</si>
  <si>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</si>
  <si>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</si>
  <si>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</si>
  <si>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</si>
  <si>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</si>
  <si>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</si>
  <si>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</si>
  <si>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</si>
  <si>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</si>
  <si>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</si>
  <si>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</si>
  <si>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</si>
  <si>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</si>
  <si>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</si>
  <si>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</si>
  <si>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</si>
  <si>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</si>
  <si>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</si>
  <si>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</si>
  <si>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</si>
  <si>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</si>
  <si>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</si>
  <si>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</si>
  <si>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</si>
  <si>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</si>
  <si>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</si>
  <si>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</si>
  <si>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</si>
  <si>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</si>
  <si>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</si>
  <si>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</si>
  <si>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</si>
  <si>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</si>
  <si>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</si>
  <si>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</si>
  <si>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</si>
  <si>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</si>
  <si>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</si>
  <si>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</si>
  <si>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</si>
  <si>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</si>
  <si>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</si>
  <si>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</si>
  <si>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</si>
  <si>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</si>
  <si>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</si>
  <si>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</si>
  <si>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</si>
  <si>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</si>
  <si>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</si>
  <si>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</si>
  <si>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</si>
  <si>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</si>
  <si>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</si>
  <si>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</si>
  <si>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</si>
  <si>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</si>
  <si>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</si>
  <si>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</si>
  <si>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</si>
  <si>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</si>
  <si>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</si>
  <si>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</si>
  <si>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</si>
  <si>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</si>
  <si>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</si>
  <si>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</si>
  <si>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</si>
  <si>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</si>
  <si>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</si>
  <si>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</si>
  <si>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</si>
  <si>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</si>
  <si>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</si>
  <si>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</si>
  <si>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</si>
  <si>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</si>
  <si>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</si>
  <si>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</si>
  <si>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</si>
  <si>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</si>
  <si>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</si>
  <si>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</si>
  <si>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</si>
  <si>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</si>
  <si>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</si>
  <si>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</si>
  <si>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</si>
  <si>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</si>
  <si>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</si>
  <si>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</si>
  <si>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</si>
  <si>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</si>
  <si>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</si>
  <si>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</si>
  <si>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</si>
  <si>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</si>
  <si>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</si>
  <si>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</si>
  <si>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</si>
  <si>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</si>
  <si>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</si>
  <si>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</si>
  <si>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</si>
  <si>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</si>
  <si>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</si>
  <si>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</si>
  <si>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</si>
  <si>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</si>
  <si>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</si>
  <si>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</si>
  <si>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</si>
  <si>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</si>
  <si>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</si>
  <si>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</si>
  <si>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</si>
  <si>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</si>
  <si>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</si>
  <si>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</si>
  <si>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</si>
  <si>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</si>
  <si>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</si>
  <si>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</si>
  <si>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</si>
  <si>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</si>
  <si>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</si>
  <si>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</si>
  <si>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</si>
  <si>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</si>
  <si>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</si>
  <si>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</si>
  <si>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</si>
  <si>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</si>
  <si>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</si>
  <si>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</si>
  <si>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</si>
  <si>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</si>
  <si>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</si>
  <si>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</si>
  <si>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</si>
  <si>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</si>
  <si>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</si>
  <si>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</si>
  <si>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</si>
  <si>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</si>
  <si>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</si>
  <si>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</si>
  <si>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</si>
  <si>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</si>
  <si>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</si>
  <si>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</si>
  <si>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</si>
  <si>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</si>
  <si>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</si>
  <si>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</si>
  <si>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</si>
  <si>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</si>
  <si>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</si>
  <si>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</si>
  <si>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</si>
  <si>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</si>
  <si>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</si>
  <si>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</si>
  <si>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</si>
  <si>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</si>
  <si>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</si>
  <si>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</si>
  <si>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</si>
  <si>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</si>
  <si>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</si>
  <si>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</si>
  <si>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</si>
  <si>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</si>
  <si>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</si>
  <si>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</si>
  <si>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</si>
  <si>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</si>
  <si>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</si>
  <si>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</si>
  <si>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</si>
  <si>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</si>
  <si>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</si>
  <si>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</si>
  <si>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</si>
  <si>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</si>
  <si>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</si>
  <si>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</si>
  <si>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</si>
  <si>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</si>
  <si>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</si>
  <si>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</si>
  <si>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</si>
  <si>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GREATER WATERBURY HEALTH NETWORK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</si>
  <si>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</si>
  <si>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</si>
  <si>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</si>
  <si>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</si>
  <si>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</si>
  <si>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</si>
  <si>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</si>
  <si>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</si>
  <si>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</si>
  <si>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</si>
  <si>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</si>
  <si>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</si>
  <si>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</si>
  <si>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</si>
  <si>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</si>
  <si>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</si>
  <si>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</si>
  <si>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</si>
  <si>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</si>
  <si>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</si>
  <si>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</si>
  <si>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</si>
  <si>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</si>
  <si>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</si>
  <si>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</si>
  <si>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</si>
  <si>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</si>
  <si>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</si>
  <si>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</si>
  <si>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</si>
  <si>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</si>
  <si>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</si>
  <si>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</si>
  <si>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</si>
  <si>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</si>
  <si>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</si>
  <si>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</si>
  <si>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</si>
  <si>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</si>
  <si>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</si>
  <si>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</si>
  <si>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</si>
  <si>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</si>
  <si>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</si>
  <si>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</si>
  <si>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</si>
  <si>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</si>
  <si>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</si>
  <si>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</si>
  <si>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</si>
  <si>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</si>
  <si>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</si>
  <si>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</si>
  <si>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</si>
  <si>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</si>
  <si>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</si>
  <si>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</si>
  <si>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</si>
  <si>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</si>
  <si>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</si>
  <si>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</si>
  <si>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</si>
  <si>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</si>
  <si>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</si>
  <si>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</si>
  <si>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</si>
  <si>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</si>
  <si>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</si>
  <si>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</si>
  <si>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</si>
  <si>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</si>
  <si>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</si>
  <si>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</si>
  <si>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</si>
  <si>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</si>
  <si>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</si>
  <si>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</si>
  <si>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</si>
  <si>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</si>
  <si>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</si>
  <si>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</si>
  <si>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</si>
  <si>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</si>
  <si>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</si>
  <si>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</si>
  <si>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</si>
  <si>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</si>
  <si>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</si>
  <si>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</si>
  <si>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</si>
  <si>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</si>
  <si>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</si>
  <si>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</si>
  <si>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</si>
  <si>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</si>
  <si>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</si>
  <si>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</si>
  <si>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</si>
  <si>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</si>
  <si>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</si>
  <si>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</si>
  <si>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</si>
  <si>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</si>
  <si>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</si>
  <si>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</si>
  <si>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</si>
  <si>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</si>
  <si>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</si>
  <si>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</si>
  <si>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</si>
  <si>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</si>
  <si>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</si>
  <si>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</si>
  <si>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</si>
  <si>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</si>
  <si>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</si>
  <si>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</si>
  <si>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</si>
  <si>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</si>
  <si>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</si>
  <si>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Waterbury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</si>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</sst>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16313006</v>
      </c>
      <c r="D13" s="22">
        <v>8118706</v>
      </c>
      <c r="E13" s="22">
        <f t="shared" ref="E13:E22" si="0">D13-C13</f>
        <v>-8194300</v>
      </c>
      <c r="F13" s="23">
        <f t="shared" ref="F13:F22" si="1">IF(C13=0,0,E13/C13)</f>
        <v>-0.50231698560032401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27695330</v>
      </c>
      <c r="D15" s="22">
        <v>21515681</v>
      </c>
      <c r="E15" s="22">
        <f t="shared" si="0"/>
        <v>-6179649</v>
      </c>
      <c r="F15" s="23">
        <f t="shared" si="1"/>
        <v>-0.22312963954572848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3254037</v>
      </c>
      <c r="D19" s="22">
        <v>2632237</v>
      </c>
      <c r="E19" s="22">
        <f t="shared" si="0"/>
        <v>-621800</v>
      </c>
      <c r="F19" s="23">
        <f t="shared" si="1"/>
        <v>-0.19108571906219873</v>
      </c>
    </row>
    <row r="20" spans="1:11" ht="24" customHeight="1" x14ac:dyDescent="0.2">
      <c r="A20" s="20">
        <v>8</v>
      </c>
      <c r="B20" s="21" t="s">
        <v>23</v>
      </c>
      <c r="C20" s="22">
        <v>1401820</v>
      </c>
      <c r="D20" s="22">
        <v>1249771</v>
      </c>
      <c r="E20" s="22">
        <f t="shared" si="0"/>
        <v>-152049</v>
      </c>
      <c r="F20" s="23">
        <f t="shared" si="1"/>
        <v>-0.10846542352085146</v>
      </c>
    </row>
    <row r="21" spans="1:11" ht="24" customHeight="1" x14ac:dyDescent="0.2">
      <c r="A21" s="20">
        <v>9</v>
      </c>
      <c r="B21" s="21" t="s">
        <v>24</v>
      </c>
      <c r="C21" s="22">
        <v>3708354</v>
      </c>
      <c r="D21" s="22">
        <v>11771238</v>
      </c>
      <c r="E21" s="22">
        <f t="shared" si="0"/>
        <v>8062884</v>
      </c>
      <c r="F21" s="23">
        <f t="shared" si="1"/>
        <v>2.174248736771085</v>
      </c>
    </row>
    <row r="22" spans="1:11" ht="24" customHeight="1" x14ac:dyDescent="0.25">
      <c r="A22" s="24"/>
      <c r="B22" s="25" t="s">
        <v>25</v>
      </c>
      <c r="C22" s="26">
        <f>SUM(C13:C21)</f>
        <v>52372547</v>
      </c>
      <c r="D22" s="26">
        <f>SUM(D13:D21)</f>
        <v>45287633</v>
      </c>
      <c r="E22" s="26">
        <f t="shared" si="0"/>
        <v>-7084914</v>
      </c>
      <c r="F22" s="27">
        <f t="shared" si="1"/>
        <v>-0.13527915684528385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43411397</v>
      </c>
      <c r="D25" s="22">
        <v>45342562</v>
      </c>
      <c r="E25" s="22">
        <f>D25-C25</f>
        <v>1931165</v>
      </c>
      <c r="F25" s="23">
        <f>IF(C25=0,0,E25/C25)</f>
        <v>4.4485207421452018E-2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43411397</v>
      </c>
      <c r="D29" s="26">
        <f>SUM(D25:D28)</f>
        <v>45342562</v>
      </c>
      <c r="E29" s="26">
        <f>D29-C29</f>
        <v>1931165</v>
      </c>
      <c r="F29" s="27">
        <f>IF(C29=0,0,E29/C29)</f>
        <v>4.4485207421452018E-2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10521190</v>
      </c>
      <c r="D32" s="22">
        <v>10857417</v>
      </c>
      <c r="E32" s="22">
        <f>D32-C32</f>
        <v>336227</v>
      </c>
      <c r="F32" s="23">
        <f>IF(C32=0,0,E32/C32)</f>
        <v>3.1957126522760261E-2</v>
      </c>
    </row>
    <row r="33" spans="1:8" ht="24" customHeight="1" x14ac:dyDescent="0.2">
      <c r="A33" s="20">
        <v>7</v>
      </c>
      <c r="B33" s="21" t="s">
        <v>35</v>
      </c>
      <c r="C33" s="22">
        <v>447767</v>
      </c>
      <c r="D33" s="22">
        <v>165128</v>
      </c>
      <c r="E33" s="22">
        <f>D33-C33</f>
        <v>-282639</v>
      </c>
      <c r="F33" s="23">
        <f>IF(C33=0,0,E33/C33)</f>
        <v>-0.63121891519473294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273590166</v>
      </c>
      <c r="D36" s="22">
        <v>270426643</v>
      </c>
      <c r="E36" s="22">
        <f>D36-C36</f>
        <v>-3163523</v>
      </c>
      <c r="F36" s="23">
        <f>IF(C36=0,0,E36/C36)</f>
        <v>-1.1562999673021873E-2</v>
      </c>
    </row>
    <row r="37" spans="1:8" ht="24" customHeight="1" x14ac:dyDescent="0.2">
      <c r="A37" s="20">
        <v>2</v>
      </c>
      <c r="B37" s="21" t="s">
        <v>39</v>
      </c>
      <c r="C37" s="22">
        <v>243205726</v>
      </c>
      <c r="D37" s="22">
        <v>249206014</v>
      </c>
      <c r="E37" s="22">
        <f>D37-C37</f>
        <v>6000288</v>
      </c>
      <c r="F37" s="23">
        <f>IF(C37=0,0,E37/C37)</f>
        <v>2.4671655962573841E-2</v>
      </c>
    </row>
    <row r="38" spans="1:8" ht="24" customHeight="1" x14ac:dyDescent="0.25">
      <c r="A38" s="24"/>
      <c r="B38" s="25" t="s">
        <v>40</v>
      </c>
      <c r="C38" s="26">
        <f>C36-C37</f>
        <v>30384440</v>
      </c>
      <c r="D38" s="26">
        <f>D36-D37</f>
        <v>21220629</v>
      </c>
      <c r="E38" s="26">
        <f>D38-C38</f>
        <v>-9163811</v>
      </c>
      <c r="F38" s="27">
        <f>IF(C38=0,0,E38/C38)</f>
        <v>-0.30159552060199235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30384440</v>
      </c>
      <c r="D41" s="26">
        <f>+D38+D40</f>
        <v>21220629</v>
      </c>
      <c r="E41" s="26">
        <f>D41-C41</f>
        <v>-9163811</v>
      </c>
      <c r="F41" s="27">
        <f>IF(C41=0,0,E41/C41)</f>
        <v>-0.30159552060199235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137137341</v>
      </c>
      <c r="D43" s="26">
        <f>D22+D29+D31+D32+D33+D41</f>
        <v>122873369</v>
      </c>
      <c r="E43" s="26">
        <f>D43-C43</f>
        <v>-14263972</v>
      </c>
      <c r="F43" s="27">
        <f>IF(C43=0,0,E43/C43)</f>
        <v>-0.10401231273690803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24179749</v>
      </c>
      <c r="D49" s="22">
        <v>19191255</v>
      </c>
      <c r="E49" s="22">
        <f t="shared" ref="E49:E56" si="2">D49-C49</f>
        <v>-4988494</v>
      </c>
      <c r="F49" s="23">
        <f t="shared" ref="F49:F56" si="3">IF(C49=0,0,E49/C49)</f>
        <v>-0.20630875862276321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3538095</v>
      </c>
      <c r="D50" s="22">
        <v>2775505</v>
      </c>
      <c r="E50" s="22">
        <f t="shared" si="2"/>
        <v>-762590</v>
      </c>
      <c r="F50" s="23">
        <f t="shared" si="3"/>
        <v>-0.21553689202805465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7348352</v>
      </c>
      <c r="D51" s="22">
        <v>5641257</v>
      </c>
      <c r="E51" s="22">
        <f t="shared" si="2"/>
        <v>-1707095</v>
      </c>
      <c r="F51" s="23">
        <f t="shared" si="3"/>
        <v>-0.23230991112020763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3000067</v>
      </c>
      <c r="D52" s="22">
        <v>19683123</v>
      </c>
      <c r="E52" s="22">
        <f t="shared" si="2"/>
        <v>16683056</v>
      </c>
      <c r="F52" s="23">
        <f t="shared" si="3"/>
        <v>5.560894473356762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516408</v>
      </c>
      <c r="D53" s="22">
        <v>0</v>
      </c>
      <c r="E53" s="22">
        <f t="shared" si="2"/>
        <v>-516408</v>
      </c>
      <c r="F53" s="23">
        <f t="shared" si="3"/>
        <v>-1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1440902</v>
      </c>
      <c r="D54" s="22">
        <v>1276314</v>
      </c>
      <c r="E54" s="22">
        <f t="shared" si="2"/>
        <v>-164588</v>
      </c>
      <c r="F54" s="23">
        <f t="shared" si="3"/>
        <v>-0.11422567253012349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40023573</v>
      </c>
      <c r="D56" s="26">
        <f>SUM(D49:D55)</f>
        <v>48567454</v>
      </c>
      <c r="E56" s="26">
        <f t="shared" si="2"/>
        <v>8543881</v>
      </c>
      <c r="F56" s="27">
        <f t="shared" si="3"/>
        <v>0.21347122107264135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23273336</v>
      </c>
      <c r="D59" s="22">
        <v>0</v>
      </c>
      <c r="E59" s="22">
        <f>D59-C59</f>
        <v>-23273336</v>
      </c>
      <c r="F59" s="23">
        <f>IF(C59=0,0,E59/C59)</f>
        <v>-1</v>
      </c>
    </row>
    <row r="60" spans="1:6" ht="24" customHeight="1" x14ac:dyDescent="0.2">
      <c r="A60" s="20">
        <v>2</v>
      </c>
      <c r="B60" s="21" t="s">
        <v>57</v>
      </c>
      <c r="C60" s="22">
        <v>3623371</v>
      </c>
      <c r="D60" s="22">
        <v>2344833</v>
      </c>
      <c r="E60" s="22">
        <f>D60-C60</f>
        <v>-1278538</v>
      </c>
      <c r="F60" s="23">
        <f>IF(C60=0,0,E60/C60)</f>
        <v>-0.35285870533268604</v>
      </c>
    </row>
    <row r="61" spans="1:6" ht="24" customHeight="1" x14ac:dyDescent="0.25">
      <c r="A61" s="24"/>
      <c r="B61" s="25" t="s">
        <v>58</v>
      </c>
      <c r="C61" s="26">
        <f>SUM(C59:C60)</f>
        <v>26896707</v>
      </c>
      <c r="D61" s="26">
        <f>SUM(D59:D60)</f>
        <v>2344833</v>
      </c>
      <c r="E61" s="26">
        <f>D61-C61</f>
        <v>-24551874</v>
      </c>
      <c r="F61" s="27">
        <f>IF(C61=0,0,E61/C61)</f>
        <v>-0.91282081483060362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25870676</v>
      </c>
      <c r="D64" s="22">
        <v>56693244</v>
      </c>
      <c r="E64" s="22">
        <f>D64-C64</f>
        <v>30822568</v>
      </c>
      <c r="F64" s="23">
        <f>IF(C64=0,0,E64/C64)</f>
        <v>1.191409455245777</v>
      </c>
    </row>
    <row r="65" spans="1:6" ht="24" customHeight="1" x14ac:dyDescent="0.25">
      <c r="A65" s="24"/>
      <c r="B65" s="25" t="s">
        <v>61</v>
      </c>
      <c r="C65" s="26">
        <f>SUM(C61:C64)</f>
        <v>52767383</v>
      </c>
      <c r="D65" s="26">
        <f>SUM(D61:D64)</f>
        <v>59038077</v>
      </c>
      <c r="E65" s="26">
        <f>D65-C65</f>
        <v>6270694</v>
      </c>
      <c r="F65" s="27">
        <f>IF(C65=0,0,E65/C65)</f>
        <v>0.11883655477096523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-10077417</v>
      </c>
      <c r="D70" s="22">
        <v>-41588851</v>
      </c>
      <c r="E70" s="22">
        <f>D70-C70</f>
        <v>-31511434</v>
      </c>
      <c r="F70" s="23">
        <f>IF(C70=0,0,E70/C70)</f>
        <v>3.1269356026450033</v>
      </c>
    </row>
    <row r="71" spans="1:6" ht="24" customHeight="1" x14ac:dyDescent="0.2">
      <c r="A71" s="20">
        <v>2</v>
      </c>
      <c r="B71" s="21" t="s">
        <v>65</v>
      </c>
      <c r="C71" s="22">
        <v>8220369</v>
      </c>
      <c r="D71" s="22">
        <v>8722091</v>
      </c>
      <c r="E71" s="22">
        <f>D71-C71</f>
        <v>501722</v>
      </c>
      <c r="F71" s="23">
        <f>IF(C71=0,0,E71/C71)</f>
        <v>6.1033999811930584E-2</v>
      </c>
    </row>
    <row r="72" spans="1:6" ht="24" customHeight="1" x14ac:dyDescent="0.2">
      <c r="A72" s="20">
        <v>3</v>
      </c>
      <c r="B72" s="21" t="s">
        <v>66</v>
      </c>
      <c r="C72" s="22">
        <v>46203433</v>
      </c>
      <c r="D72" s="22">
        <v>48134598</v>
      </c>
      <c r="E72" s="22">
        <f>D72-C72</f>
        <v>1931165</v>
      </c>
      <c r="F72" s="23">
        <f>IF(C72=0,0,E72/C72)</f>
        <v>4.1797002400232902E-2</v>
      </c>
    </row>
    <row r="73" spans="1:6" ht="24" customHeight="1" x14ac:dyDescent="0.25">
      <c r="A73" s="20"/>
      <c r="B73" s="25" t="s">
        <v>67</v>
      </c>
      <c r="C73" s="26">
        <f>SUM(C70:C72)</f>
        <v>44346385</v>
      </c>
      <c r="D73" s="26">
        <f>SUM(D70:D72)</f>
        <v>15267838</v>
      </c>
      <c r="E73" s="26">
        <f>D73-C73</f>
        <v>-29078547</v>
      </c>
      <c r="F73" s="27">
        <f>IF(C73=0,0,E73/C73)</f>
        <v>-0.65571403396240757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137137341</v>
      </c>
      <c r="D75" s="26">
        <f>D56+D65+D67+D73</f>
        <v>122873369</v>
      </c>
      <c r="E75" s="26">
        <f>D75-C75</f>
        <v>-14263972</v>
      </c>
      <c r="F75" s="27">
        <f>IF(C75=0,0,E75/C75)</f>
        <v>-0.10401231273690803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0" zoomScaleSheetLayoutView="75" workbookViewId="0">
      <selection sqref="A1:F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248939189</v>
      </c>
      <c r="D11" s="76">
        <v>233666461</v>
      </c>
      <c r="E11" s="76">
        <v>251626867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11533139</v>
      </c>
      <c r="D12" s="185">
        <v>11401405</v>
      </c>
      <c r="E12" s="185">
        <v>11814048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260472328</v>
      </c>
      <c r="D13" s="76">
        <f>+D11+D12</f>
        <v>245067866</v>
      </c>
      <c r="E13" s="76">
        <f>+E11+E12</f>
        <v>263440915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268450195</v>
      </c>
      <c r="D14" s="185">
        <v>268052904</v>
      </c>
      <c r="E14" s="185">
        <v>297005778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-7977867</v>
      </c>
      <c r="D15" s="76">
        <f>+D13-D14</f>
        <v>-22985038</v>
      </c>
      <c r="E15" s="76">
        <f>+E13-E14</f>
        <v>-33564863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2323179</v>
      </c>
      <c r="D16" s="185">
        <v>597134</v>
      </c>
      <c r="E16" s="185">
        <v>2120231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-5654688</v>
      </c>
      <c r="D17" s="76">
        <f>D15+D16</f>
        <v>-22387904</v>
      </c>
      <c r="E17" s="76">
        <f>E15+E16</f>
        <v>-31444632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-3.0357699380301809E-2</v>
      </c>
      <c r="D20" s="189">
        <f>IF(+D27=0,0,+D24/+D27)</f>
        <v>-9.3562526204384017E-2</v>
      </c>
      <c r="E20" s="189">
        <f>IF(+E27=0,0,+E24/+E27)</f>
        <v>-0.12639222079573342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8.8402538784652807E-3</v>
      </c>
      <c r="D21" s="189">
        <f>IF(+D27=0,0,+D26/+D27)</f>
        <v>2.4306840616286408E-3</v>
      </c>
      <c r="E21" s="189">
        <f>IF(+E27=0,0,+E26/+E27)</f>
        <v>7.9839653952992057E-3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-2.151744550183653E-2</v>
      </c>
      <c r="D22" s="189">
        <f>IF(+D27=0,0,+D28/+D27)</f>
        <v>-9.1131842142755382E-2</v>
      </c>
      <c r="E22" s="189">
        <f>IF(+E27=0,0,+E28/+E27)</f>
        <v>-0.11840825540043422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-7977867</v>
      </c>
      <c r="D24" s="76">
        <f>+D15</f>
        <v>-22985038</v>
      </c>
      <c r="E24" s="76">
        <f>+E15</f>
        <v>-33564863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260472328</v>
      </c>
      <c r="D25" s="76">
        <f>+D13</f>
        <v>245067866</v>
      </c>
      <c r="E25" s="76">
        <f>+E13</f>
        <v>263440915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2323179</v>
      </c>
      <c r="D26" s="76">
        <f>+D16</f>
        <v>597134</v>
      </c>
      <c r="E26" s="76">
        <f>+E16</f>
        <v>2120231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262795507</v>
      </c>
      <c r="D27" s="76">
        <f>SUM(D25:D26)</f>
        <v>245665000</v>
      </c>
      <c r="E27" s="76">
        <f>SUM(E25:E26)</f>
        <v>265561146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-5654688</v>
      </c>
      <c r="D28" s="76">
        <f>+D17</f>
        <v>-22387904</v>
      </c>
      <c r="E28" s="76">
        <f>+E17</f>
        <v>-31444632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43957226</v>
      </c>
      <c r="D31" s="76">
        <v>21583554</v>
      </c>
      <c r="E31" s="76">
        <v>-12132590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101596550</v>
      </c>
      <c r="D32" s="76">
        <v>76007356</v>
      </c>
      <c r="E32" s="76">
        <v>44724099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-4788368</v>
      </c>
      <c r="D33" s="76">
        <f>+D32-C32</f>
        <v>-25589194</v>
      </c>
      <c r="E33" s="76">
        <f>+E32-D32</f>
        <v>-31283257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0.95489999999999997</v>
      </c>
      <c r="D34" s="193">
        <f>IF(C32=0,0,+D33/C32)</f>
        <v>-0.25187069836524961</v>
      </c>
      <c r="E34" s="193">
        <f>IF(D32=0,0,+E33/D32)</f>
        <v>-0.41158196582972839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1.9812309896046032</v>
      </c>
      <c r="D38" s="338">
        <f>IF(+D40=0,0,+D39/+D40)</f>
        <v>1.5912547006081352</v>
      </c>
      <c r="E38" s="338">
        <f>IF(+E40=0,0,+E39/+E40)</f>
        <v>1.6881873651568977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77477183</v>
      </c>
      <c r="D39" s="341">
        <v>66765233</v>
      </c>
      <c r="E39" s="341">
        <v>57001930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39105578</v>
      </c>
      <c r="D40" s="341">
        <v>41957603</v>
      </c>
      <c r="E40" s="341">
        <v>33765168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50.761958921105048</v>
      </c>
      <c r="D42" s="343">
        <f>IF((D48/365)=0,0,+D45/(D48/365))</f>
        <v>34.906530598817255</v>
      </c>
      <c r="E42" s="343">
        <f>IF((E48/365)=0,0,+E45/(E48/365))</f>
        <v>15.642172782389512</v>
      </c>
    </row>
    <row r="43" spans="1:14" ht="24" customHeight="1" x14ac:dyDescent="0.2">
      <c r="A43" s="339">
        <v>5</v>
      </c>
      <c r="B43" s="344" t="s">
        <v>16</v>
      </c>
      <c r="C43" s="345">
        <v>34802272</v>
      </c>
      <c r="D43" s="345">
        <v>23373992</v>
      </c>
      <c r="E43" s="345">
        <v>11878115</v>
      </c>
    </row>
    <row r="44" spans="1:14" ht="24" customHeight="1" x14ac:dyDescent="0.2">
      <c r="A44" s="339">
        <v>6</v>
      </c>
      <c r="B44" s="346" t="s">
        <v>17</v>
      </c>
      <c r="C44" s="345">
        <v>1420733</v>
      </c>
      <c r="D44" s="345">
        <v>1527528</v>
      </c>
      <c r="E44" s="345">
        <v>552299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36223005</v>
      </c>
      <c r="D45" s="341">
        <f>+D43+D44</f>
        <v>24901520</v>
      </c>
      <c r="E45" s="341">
        <f>+E43+E44</f>
        <v>12430414</v>
      </c>
    </row>
    <row r="46" spans="1:14" ht="24" customHeight="1" x14ac:dyDescent="0.2">
      <c r="A46" s="339">
        <v>8</v>
      </c>
      <c r="B46" s="340" t="s">
        <v>334</v>
      </c>
      <c r="C46" s="341">
        <f>+C14</f>
        <v>268450195</v>
      </c>
      <c r="D46" s="341">
        <f>+D14</f>
        <v>268052904</v>
      </c>
      <c r="E46" s="341">
        <f>+E14</f>
        <v>297005778</v>
      </c>
    </row>
    <row r="47" spans="1:14" ht="24" customHeight="1" x14ac:dyDescent="0.2">
      <c r="A47" s="339">
        <v>9</v>
      </c>
      <c r="B47" s="340" t="s">
        <v>356</v>
      </c>
      <c r="C47" s="341">
        <v>7991436</v>
      </c>
      <c r="D47" s="341">
        <v>7670258</v>
      </c>
      <c r="E47" s="341">
        <v>6950095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260458759</v>
      </c>
      <c r="D48" s="341">
        <f>+D46-D47</f>
        <v>260382646</v>
      </c>
      <c r="E48" s="341">
        <f>+E46-E47</f>
        <v>290055683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39.419832246661656</v>
      </c>
      <c r="D50" s="350">
        <f>IF((D55/365)=0,0,+D54/(D55/365))</f>
        <v>38.405401492343394</v>
      </c>
      <c r="E50" s="350">
        <f>IF((E55/365)=0,0,+E54/(E55/365))</f>
        <v>31.434806999365453</v>
      </c>
    </row>
    <row r="51" spans="1:5" ht="24" customHeight="1" x14ac:dyDescent="0.2">
      <c r="A51" s="339">
        <v>12</v>
      </c>
      <c r="B51" s="344" t="s">
        <v>359</v>
      </c>
      <c r="C51" s="351">
        <v>31329622</v>
      </c>
      <c r="D51" s="351">
        <v>32315680</v>
      </c>
      <c r="E51" s="351">
        <v>27703809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4444304</v>
      </c>
      <c r="D53" s="341">
        <v>7729230</v>
      </c>
      <c r="E53" s="341">
        <v>6033009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26885318</v>
      </c>
      <c r="D54" s="352">
        <f>+D51+D52-D53</f>
        <v>24586450</v>
      </c>
      <c r="E54" s="352">
        <f>+E51+E52-E53</f>
        <v>21670800</v>
      </c>
    </row>
    <row r="55" spans="1:5" ht="24" customHeight="1" x14ac:dyDescent="0.2">
      <c r="A55" s="339">
        <v>16</v>
      </c>
      <c r="B55" s="340" t="s">
        <v>75</v>
      </c>
      <c r="C55" s="341">
        <f>+C11</f>
        <v>248939189</v>
      </c>
      <c r="D55" s="341">
        <f>+D11</f>
        <v>233666461</v>
      </c>
      <c r="E55" s="341">
        <f>+E11</f>
        <v>251626867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54.801520305178137</v>
      </c>
      <c r="D57" s="355">
        <f>IF((D61/365)=0,0,+D58/(D61/365))</f>
        <v>58.815459978849745</v>
      </c>
      <c r="E57" s="355">
        <f>IF((E61/365)=0,0,+E58/(E61/365))</f>
        <v>42.489380633855745</v>
      </c>
    </row>
    <row r="58" spans="1:5" ht="24" customHeight="1" x14ac:dyDescent="0.2">
      <c r="A58" s="339">
        <v>18</v>
      </c>
      <c r="B58" s="340" t="s">
        <v>54</v>
      </c>
      <c r="C58" s="353">
        <f>+C40</f>
        <v>39105578</v>
      </c>
      <c r="D58" s="353">
        <f>+D40</f>
        <v>41957603</v>
      </c>
      <c r="E58" s="353">
        <f>+E40</f>
        <v>33765168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268450195</v>
      </c>
      <c r="D59" s="353">
        <f t="shared" si="0"/>
        <v>268052904</v>
      </c>
      <c r="E59" s="353">
        <f t="shared" si="0"/>
        <v>297005778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7991436</v>
      </c>
      <c r="D60" s="356">
        <f t="shared" si="0"/>
        <v>7670258</v>
      </c>
      <c r="E60" s="356">
        <f t="shared" si="0"/>
        <v>6950095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260458759</v>
      </c>
      <c r="D61" s="353">
        <f>+D59-D60</f>
        <v>260382646</v>
      </c>
      <c r="E61" s="353">
        <f>+E59-E60</f>
        <v>290055683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52.29599920939765</v>
      </c>
      <c r="D65" s="357">
        <f>IF(D67=0,0,(D66/D67)*100)</f>
        <v>43.478894535507038</v>
      </c>
      <c r="E65" s="357">
        <f>IF(E67=0,0,(E66/E67)*100)</f>
        <v>31.632217315143485</v>
      </c>
    </row>
    <row r="66" spans="1:5" ht="24" customHeight="1" x14ac:dyDescent="0.2">
      <c r="A66" s="339">
        <v>2</v>
      </c>
      <c r="B66" s="340" t="s">
        <v>67</v>
      </c>
      <c r="C66" s="353">
        <f>+C32</f>
        <v>101596550</v>
      </c>
      <c r="D66" s="353">
        <f>+D32</f>
        <v>76007356</v>
      </c>
      <c r="E66" s="353">
        <f>+E32</f>
        <v>44724099</v>
      </c>
    </row>
    <row r="67" spans="1:5" ht="24" customHeight="1" x14ac:dyDescent="0.2">
      <c r="A67" s="339">
        <v>3</v>
      </c>
      <c r="B67" s="340" t="s">
        <v>43</v>
      </c>
      <c r="C67" s="353">
        <v>194272127</v>
      </c>
      <c r="D67" s="353">
        <v>174814371</v>
      </c>
      <c r="E67" s="353">
        <v>141387809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3.6170158688803191</v>
      </c>
      <c r="D69" s="357">
        <f>IF(D75=0,0,(D72/D75)*100)</f>
        <v>-20.998535631511263</v>
      </c>
      <c r="E69" s="357">
        <f>IF(E75=0,0,(E72/E75)*100)</f>
        <v>-65.722585932530293</v>
      </c>
    </row>
    <row r="70" spans="1:5" ht="24" customHeight="1" x14ac:dyDescent="0.2">
      <c r="A70" s="339">
        <v>5</v>
      </c>
      <c r="B70" s="340" t="s">
        <v>366</v>
      </c>
      <c r="C70" s="353">
        <f>+C28</f>
        <v>-5654688</v>
      </c>
      <c r="D70" s="353">
        <f>+D28</f>
        <v>-22387904</v>
      </c>
      <c r="E70" s="353">
        <f>+E28</f>
        <v>-31444632</v>
      </c>
    </row>
    <row r="71" spans="1:5" ht="24" customHeight="1" x14ac:dyDescent="0.2">
      <c r="A71" s="339">
        <v>6</v>
      </c>
      <c r="B71" s="340" t="s">
        <v>356</v>
      </c>
      <c r="C71" s="356">
        <f>+C47</f>
        <v>7991436</v>
      </c>
      <c r="D71" s="356">
        <f>+D47</f>
        <v>7670258</v>
      </c>
      <c r="E71" s="356">
        <f>+E47</f>
        <v>6950095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2336748</v>
      </c>
      <c r="D72" s="353">
        <f>+D70+D71</f>
        <v>-14717646</v>
      </c>
      <c r="E72" s="353">
        <f>+E70+E71</f>
        <v>-24494537</v>
      </c>
    </row>
    <row r="73" spans="1:5" ht="24" customHeight="1" x14ac:dyDescent="0.2">
      <c r="A73" s="339">
        <v>8</v>
      </c>
      <c r="B73" s="340" t="s">
        <v>54</v>
      </c>
      <c r="C73" s="341">
        <f>+C40</f>
        <v>39105578</v>
      </c>
      <c r="D73" s="341">
        <f>+D40</f>
        <v>41957603</v>
      </c>
      <c r="E73" s="341">
        <f>+E40</f>
        <v>33765168</v>
      </c>
    </row>
    <row r="74" spans="1:5" ht="24" customHeight="1" x14ac:dyDescent="0.2">
      <c r="A74" s="339">
        <v>9</v>
      </c>
      <c r="B74" s="340" t="s">
        <v>58</v>
      </c>
      <c r="C74" s="353">
        <v>25498728</v>
      </c>
      <c r="D74" s="353">
        <v>28131313</v>
      </c>
      <c r="E74" s="353">
        <v>3504420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64604306</v>
      </c>
      <c r="D75" s="341">
        <f>+D73+D74</f>
        <v>70088916</v>
      </c>
      <c r="E75" s="341">
        <f>+E73+E74</f>
        <v>37269588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20.062687144049519</v>
      </c>
      <c r="D77" s="359">
        <f>IF(D80=0,0,(D78/D80)*100)</f>
        <v>27.013321055601352</v>
      </c>
      <c r="E77" s="359">
        <f>IF(E80=0,0,(E78/E80)*100)</f>
        <v>7.2662815957504314</v>
      </c>
    </row>
    <row r="78" spans="1:5" ht="24" customHeight="1" x14ac:dyDescent="0.2">
      <c r="A78" s="339">
        <v>12</v>
      </c>
      <c r="B78" s="340" t="s">
        <v>58</v>
      </c>
      <c r="C78" s="341">
        <f>+C74</f>
        <v>25498728</v>
      </c>
      <c r="D78" s="341">
        <f>+D74</f>
        <v>28131313</v>
      </c>
      <c r="E78" s="341">
        <f>+E74</f>
        <v>3504420</v>
      </c>
    </row>
    <row r="79" spans="1:5" ht="24" customHeight="1" x14ac:dyDescent="0.2">
      <c r="A79" s="339">
        <v>13</v>
      </c>
      <c r="B79" s="340" t="s">
        <v>67</v>
      </c>
      <c r="C79" s="341">
        <f>+C32</f>
        <v>101596550</v>
      </c>
      <c r="D79" s="341">
        <f>+D32</f>
        <v>76007356</v>
      </c>
      <c r="E79" s="341">
        <f>+E32</f>
        <v>44724099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127095278</v>
      </c>
      <c r="D80" s="341">
        <f>+D78+D79</f>
        <v>104138669</v>
      </c>
      <c r="E80" s="341">
        <f>+E78+E79</f>
        <v>48228519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33531</v>
      </c>
      <c r="D11" s="376">
        <v>8727</v>
      </c>
      <c r="E11" s="376">
        <v>8895</v>
      </c>
      <c r="F11" s="377">
        <v>170</v>
      </c>
      <c r="G11" s="377">
        <v>170</v>
      </c>
      <c r="H11" s="378">
        <f>IF(F11=0,0,$C11/(F11*365))</f>
        <v>0.54038678485092673</v>
      </c>
      <c r="I11" s="378">
        <f>IF(G11=0,0,$C11/(G11*365))</f>
        <v>0.54038678485092673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4435</v>
      </c>
      <c r="D13" s="376">
        <v>353</v>
      </c>
      <c r="E13" s="376">
        <v>0</v>
      </c>
      <c r="F13" s="377">
        <v>20</v>
      </c>
      <c r="G13" s="377">
        <v>20</v>
      </c>
      <c r="H13" s="378">
        <f>IF(F13=0,0,$C13/(F13*365))</f>
        <v>0.6075342465753425</v>
      </c>
      <c r="I13" s="378">
        <f>IF(G13=0,0,$C13/(G13*365))</f>
        <v>0.6075342465753425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1086</v>
      </c>
      <c r="D15" s="376">
        <v>84</v>
      </c>
      <c r="E15" s="376">
        <v>84</v>
      </c>
      <c r="F15" s="377">
        <v>4</v>
      </c>
      <c r="G15" s="377">
        <v>5</v>
      </c>
      <c r="H15" s="378">
        <f t="shared" ref="H15:I17" si="0">IF(F15=0,0,$C15/(F15*365))</f>
        <v>0.74383561643835616</v>
      </c>
      <c r="I15" s="378">
        <f t="shared" si="0"/>
        <v>0.59506849315068489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6869</v>
      </c>
      <c r="D16" s="376">
        <v>575</v>
      </c>
      <c r="E16" s="376">
        <v>576</v>
      </c>
      <c r="F16" s="377">
        <v>23</v>
      </c>
      <c r="G16" s="377">
        <v>25</v>
      </c>
      <c r="H16" s="378">
        <f t="shared" si="0"/>
        <v>0.8182251340083383</v>
      </c>
      <c r="I16" s="378">
        <f t="shared" si="0"/>
        <v>0.75276712328767126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7955</v>
      </c>
      <c r="D17" s="381">
        <f>SUM(D15:D16)</f>
        <v>659</v>
      </c>
      <c r="E17" s="381">
        <f>SUM(E15:E16)</f>
        <v>660</v>
      </c>
      <c r="F17" s="381">
        <f>SUM(F15:F16)</f>
        <v>27</v>
      </c>
      <c r="G17" s="381">
        <f>SUM(G15:G16)</f>
        <v>30</v>
      </c>
      <c r="H17" s="382">
        <f t="shared" si="0"/>
        <v>0.80720446473871132</v>
      </c>
      <c r="I17" s="382">
        <f t="shared" si="0"/>
        <v>0.72648401826484021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2870</v>
      </c>
      <c r="D21" s="376">
        <v>1155</v>
      </c>
      <c r="E21" s="376">
        <v>1155</v>
      </c>
      <c r="F21" s="377">
        <v>10</v>
      </c>
      <c r="G21" s="377">
        <v>26</v>
      </c>
      <c r="H21" s="378">
        <f>IF(F21=0,0,$C21/(F21*365))</f>
        <v>0.78630136986301369</v>
      </c>
      <c r="I21" s="378">
        <f>IF(G21=0,0,$C21/(G21*365))</f>
        <v>0.30242360379346683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2095</v>
      </c>
      <c r="D23" s="376">
        <v>925</v>
      </c>
      <c r="E23" s="376">
        <v>927</v>
      </c>
      <c r="F23" s="377">
        <v>10</v>
      </c>
      <c r="G23" s="377">
        <v>22</v>
      </c>
      <c r="H23" s="378">
        <f>IF(F23=0,0,$C23/(F23*365))</f>
        <v>0.57397260273972606</v>
      </c>
      <c r="I23" s="378">
        <f>IF(G23=0,0,$C23/(G23*365))</f>
        <v>0.26089663760896636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1700</v>
      </c>
      <c r="D25" s="376">
        <v>180</v>
      </c>
      <c r="E25" s="376">
        <v>0</v>
      </c>
      <c r="F25" s="377">
        <v>6</v>
      </c>
      <c r="G25" s="377">
        <v>14</v>
      </c>
      <c r="H25" s="378">
        <f>IF(F25=0,0,$C25/(F25*365))</f>
        <v>0.77625570776255703</v>
      </c>
      <c r="I25" s="378">
        <f>IF(G25=0,0,$C25/(G25*365))</f>
        <v>0.33268101761252444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50491</v>
      </c>
      <c r="D31" s="384">
        <f>SUM(D10:D29)-D13-D17-D23</f>
        <v>10721</v>
      </c>
      <c r="E31" s="384">
        <f>SUM(E10:E29)-E17-E23</f>
        <v>10710</v>
      </c>
      <c r="F31" s="384">
        <f>SUM(F10:F29)-F17-F23</f>
        <v>233</v>
      </c>
      <c r="G31" s="384">
        <f>SUM(G10:G29)-G17-G23</f>
        <v>260</v>
      </c>
      <c r="H31" s="385">
        <f>IF(F31=0,0,$C31/(F31*365))</f>
        <v>0.59369745428890586</v>
      </c>
      <c r="I31" s="385">
        <f>IF(G31=0,0,$C31/(G31*365))</f>
        <v>0.53204425711275027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52586</v>
      </c>
      <c r="D33" s="384">
        <f>SUM(D10:D29)-D13-D17</f>
        <v>11646</v>
      </c>
      <c r="E33" s="384">
        <f>SUM(E10:E29)-E17</f>
        <v>11637</v>
      </c>
      <c r="F33" s="384">
        <f>SUM(F10:F29)-F17</f>
        <v>243</v>
      </c>
      <c r="G33" s="384">
        <f>SUM(G10:G29)-G17</f>
        <v>282</v>
      </c>
      <c r="H33" s="385">
        <f>IF(F33=0,0,$C33/(F33*365))</f>
        <v>0.59288573200293138</v>
      </c>
      <c r="I33" s="385">
        <f>IF(G33=0,0,$C33/(G33*365))</f>
        <v>0.51089089672593024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52586</v>
      </c>
      <c r="D36" s="384">
        <f t="shared" si="1"/>
        <v>11646</v>
      </c>
      <c r="E36" s="384">
        <f t="shared" si="1"/>
        <v>11637</v>
      </c>
      <c r="F36" s="384">
        <f t="shared" si="1"/>
        <v>243</v>
      </c>
      <c r="G36" s="384">
        <f t="shared" si="1"/>
        <v>282</v>
      </c>
      <c r="H36" s="387">
        <f t="shared" si="1"/>
        <v>0.59288573200293138</v>
      </c>
      <c r="I36" s="387">
        <f t="shared" si="1"/>
        <v>0.51089089672593024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55390</v>
      </c>
      <c r="D37" s="384">
        <v>11646</v>
      </c>
      <c r="E37" s="384">
        <v>11613</v>
      </c>
      <c r="F37" s="386">
        <v>180</v>
      </c>
      <c r="G37" s="386">
        <v>282</v>
      </c>
      <c r="H37" s="385">
        <f>IF(F37=0,0,$C37/(F37*365))</f>
        <v>0.84307458143074576</v>
      </c>
      <c r="I37" s="385">
        <f>IF(G37=0,0,$C37/(G37*365))</f>
        <v>0.53813271155153986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-2804</v>
      </c>
      <c r="D38" s="384">
        <f t="shared" si="2"/>
        <v>0</v>
      </c>
      <c r="E38" s="384">
        <f t="shared" si="2"/>
        <v>24</v>
      </c>
      <c r="F38" s="384">
        <f t="shared" si="2"/>
        <v>63</v>
      </c>
      <c r="G38" s="384">
        <f t="shared" si="2"/>
        <v>0</v>
      </c>
      <c r="H38" s="387">
        <f t="shared" si="2"/>
        <v>-0.25018884942781439</v>
      </c>
      <c r="I38" s="387">
        <f t="shared" si="2"/>
        <v>-2.7241814825609612E-2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-5.0622856111211409E-2</v>
      </c>
      <c r="D40" s="389">
        <f t="shared" si="3"/>
        <v>0</v>
      </c>
      <c r="E40" s="389">
        <f t="shared" si="3"/>
        <v>2.0666494445879618E-3</v>
      </c>
      <c r="F40" s="389">
        <f t="shared" si="3"/>
        <v>0.35</v>
      </c>
      <c r="G40" s="389">
        <f t="shared" si="3"/>
        <v>0</v>
      </c>
      <c r="H40" s="389">
        <f t="shared" si="3"/>
        <v>-0.29675767119348989</v>
      </c>
      <c r="I40" s="389">
        <f t="shared" si="3"/>
        <v>-5.0622856111211367E-2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393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SheetLayoutView="90" workbookViewId="0">
      <selection sqref="A1:F1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6596</v>
      </c>
      <c r="D12" s="409">
        <v>7036</v>
      </c>
      <c r="E12" s="409">
        <f>+D12-C12</f>
        <v>440</v>
      </c>
      <c r="F12" s="410">
        <f>IF(C12=0,0,+E12/C12)</f>
        <v>6.6707095209217707E-2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4784</v>
      </c>
      <c r="D13" s="409">
        <v>5547</v>
      </c>
      <c r="E13" s="409">
        <f>+D13-C13</f>
        <v>763</v>
      </c>
      <c r="F13" s="410">
        <f>IF(C13=0,0,+E13/C13)</f>
        <v>0.15948996655518394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7911</v>
      </c>
      <c r="D14" s="409">
        <v>8571</v>
      </c>
      <c r="E14" s="409">
        <f>+D14-C14</f>
        <v>660</v>
      </c>
      <c r="F14" s="410">
        <f>IF(C14=0,0,+E14/C14)</f>
        <v>8.3428138035646568E-2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19291</v>
      </c>
      <c r="D16" s="401">
        <f>SUM(D12:D15)</f>
        <v>21154</v>
      </c>
      <c r="E16" s="401">
        <f>+D16-C16</f>
        <v>1863</v>
      </c>
      <c r="F16" s="402">
        <f>IF(C16=0,0,+E16/C16)</f>
        <v>9.6573531698719614E-2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0</v>
      </c>
      <c r="D19" s="409">
        <v>0</v>
      </c>
      <c r="E19" s="409">
        <f>+D19-C19</f>
        <v>0</v>
      </c>
      <c r="F19" s="410">
        <f>IF(C19=0,0,+E19/C19)</f>
        <v>0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0</v>
      </c>
      <c r="D20" s="409">
        <v>0</v>
      </c>
      <c r="E20" s="409">
        <f>+D20-C20</f>
        <v>0</v>
      </c>
      <c r="F20" s="410">
        <f>IF(C20=0,0,+E20/C20)</f>
        <v>0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0</v>
      </c>
      <c r="D21" s="409">
        <v>0</v>
      </c>
      <c r="E21" s="409">
        <f>+D21-C21</f>
        <v>0</v>
      </c>
      <c r="F21" s="410">
        <f>IF(C21=0,0,+E21/C21)</f>
        <v>0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7686</v>
      </c>
      <c r="D22" s="409">
        <v>7455</v>
      </c>
      <c r="E22" s="409">
        <f>+D22-C22</f>
        <v>-231</v>
      </c>
      <c r="F22" s="410">
        <f>IF(C22=0,0,+E22/C22)</f>
        <v>-3.0054644808743168E-2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7686</v>
      </c>
      <c r="D23" s="401">
        <f>SUM(D19:D22)</f>
        <v>7455</v>
      </c>
      <c r="E23" s="401">
        <f>+D23-C23</f>
        <v>-231</v>
      </c>
      <c r="F23" s="402">
        <f>IF(C23=0,0,+E23/C23)</f>
        <v>-3.0054644808743168E-2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76</v>
      </c>
      <c r="D43" s="409">
        <v>52</v>
      </c>
      <c r="E43" s="409">
        <f>+D43-C43</f>
        <v>-24</v>
      </c>
      <c r="F43" s="410">
        <f>IF(C43=0,0,+E43/C43)</f>
        <v>-0.31578947368421051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2</v>
      </c>
      <c r="D44" s="409">
        <v>1</v>
      </c>
      <c r="E44" s="409">
        <f>+D44-C44</f>
        <v>-1</v>
      </c>
      <c r="F44" s="410">
        <f>IF(C44=0,0,+E44/C44)</f>
        <v>-0.5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78</v>
      </c>
      <c r="D45" s="401">
        <f>SUM(D43:D44)</f>
        <v>53</v>
      </c>
      <c r="E45" s="401">
        <f>+D45-C45</f>
        <v>-25</v>
      </c>
      <c r="F45" s="402">
        <f>IF(C45=0,0,+E45/C45)</f>
        <v>-0.32051282051282054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371</v>
      </c>
      <c r="D48" s="409">
        <v>431</v>
      </c>
      <c r="E48" s="409">
        <f>+D48-C48</f>
        <v>60</v>
      </c>
      <c r="F48" s="410">
        <f>IF(C48=0,0,+E48/C48)</f>
        <v>0.16172506738544473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474</v>
      </c>
      <c r="D49" s="409">
        <v>450</v>
      </c>
      <c r="E49" s="409">
        <f>+D49-C49</f>
        <v>-24</v>
      </c>
      <c r="F49" s="410">
        <f>IF(C49=0,0,+E49/C49)</f>
        <v>-5.0632911392405063E-2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845</v>
      </c>
      <c r="D50" s="401">
        <f>SUM(D48:D49)</f>
        <v>881</v>
      </c>
      <c r="E50" s="401">
        <f>+D50-C50</f>
        <v>36</v>
      </c>
      <c r="F50" s="402">
        <f>IF(C50=0,0,+E50/C50)</f>
        <v>4.2603550295857988E-2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166</v>
      </c>
      <c r="D53" s="409">
        <v>304</v>
      </c>
      <c r="E53" s="409">
        <f>+D53-C53</f>
        <v>138</v>
      </c>
      <c r="F53" s="410">
        <f>IF(C53=0,0,+E53/C53)</f>
        <v>0.83132530120481929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167</v>
      </c>
      <c r="D54" s="409">
        <v>44</v>
      </c>
      <c r="E54" s="409">
        <f>+D54-C54</f>
        <v>-123</v>
      </c>
      <c r="F54" s="410">
        <f>IF(C54=0,0,+E54/C54)</f>
        <v>-0.73652694610778446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333</v>
      </c>
      <c r="D55" s="401">
        <f>SUM(D53:D54)</f>
        <v>348</v>
      </c>
      <c r="E55" s="401">
        <f>+D55-C55</f>
        <v>15</v>
      </c>
      <c r="F55" s="402">
        <f>IF(C55=0,0,+E55/C55)</f>
        <v>4.5045045045045043E-2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1950</v>
      </c>
      <c r="D63" s="409">
        <v>1873</v>
      </c>
      <c r="E63" s="409">
        <f>+D63-C63</f>
        <v>-77</v>
      </c>
      <c r="F63" s="410">
        <f>IF(C63=0,0,+E63/C63)</f>
        <v>-3.9487179487179488E-2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4288</v>
      </c>
      <c r="D64" s="409">
        <v>4523</v>
      </c>
      <c r="E64" s="409">
        <f>+D64-C64</f>
        <v>235</v>
      </c>
      <c r="F64" s="410">
        <f>IF(C64=0,0,+E64/C64)</f>
        <v>5.4804104477611942E-2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6238</v>
      </c>
      <c r="D65" s="401">
        <f>SUM(D63:D64)</f>
        <v>6396</v>
      </c>
      <c r="E65" s="401">
        <f>+D65-C65</f>
        <v>158</v>
      </c>
      <c r="F65" s="402">
        <f>IF(C65=0,0,+E65/C65)</f>
        <v>2.5328630971465212E-2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254</v>
      </c>
      <c r="D68" s="409">
        <v>262</v>
      </c>
      <c r="E68" s="409">
        <f>+D68-C68</f>
        <v>8</v>
      </c>
      <c r="F68" s="410">
        <f>IF(C68=0,0,+E68/C68)</f>
        <v>3.1496062992125984E-2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500</v>
      </c>
      <c r="D69" s="409">
        <v>527</v>
      </c>
      <c r="E69" s="409">
        <f>+D69-C69</f>
        <v>27</v>
      </c>
      <c r="F69" s="412">
        <f>IF(C69=0,0,+E69/C69)</f>
        <v>5.3999999999999999E-2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754</v>
      </c>
      <c r="D70" s="401">
        <f>SUM(D68:D69)</f>
        <v>789</v>
      </c>
      <c r="E70" s="401">
        <f>+D70-C70</f>
        <v>35</v>
      </c>
      <c r="F70" s="402">
        <f>IF(C70=0,0,+E70/C70)</f>
        <v>4.6419098143236075E-2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8080</v>
      </c>
      <c r="D73" s="376">
        <v>7751</v>
      </c>
      <c r="E73" s="409">
        <f>+D73-C73</f>
        <v>-329</v>
      </c>
      <c r="F73" s="410">
        <f>IF(C73=0,0,+E73/C73)</f>
        <v>-4.0717821782178219E-2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42573</v>
      </c>
      <c r="D74" s="376">
        <v>39356</v>
      </c>
      <c r="E74" s="409">
        <f>+D74-C74</f>
        <v>-3217</v>
      </c>
      <c r="F74" s="410">
        <f>IF(C74=0,0,+E74/C74)</f>
        <v>-7.5564324806802433E-2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50653</v>
      </c>
      <c r="D75" s="401">
        <f>SUM(D73:D74)</f>
        <v>47107</v>
      </c>
      <c r="E75" s="401">
        <f>SUM(E73:E74)</f>
        <v>-3546</v>
      </c>
      <c r="F75" s="402">
        <f>IF(C75=0,0,+E75/C75)</f>
        <v>-7.0005725228515586E-2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22540</v>
      </c>
      <c r="D81" s="376">
        <v>25470</v>
      </c>
      <c r="E81" s="409">
        <f t="shared" si="0"/>
        <v>2930</v>
      </c>
      <c r="F81" s="410">
        <f t="shared" si="1"/>
        <v>0.12999112688553682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14021</v>
      </c>
      <c r="D91" s="376">
        <v>14074</v>
      </c>
      <c r="E91" s="409">
        <f t="shared" si="0"/>
        <v>53</v>
      </c>
      <c r="F91" s="410">
        <f t="shared" si="1"/>
        <v>3.7800442193852081E-3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36561</v>
      </c>
      <c r="D92" s="381">
        <f>SUM(D79:D91)</f>
        <v>39544</v>
      </c>
      <c r="E92" s="401">
        <f t="shared" si="0"/>
        <v>2983</v>
      </c>
      <c r="F92" s="402">
        <f t="shared" si="1"/>
        <v>8.1589672054921916E-2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0</v>
      </c>
      <c r="E95" s="415">
        <f t="shared" ref="E95:E100" si="2">+D95-C95</f>
        <v>0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3382</v>
      </c>
      <c r="D96" s="414">
        <v>3846</v>
      </c>
      <c r="E96" s="409">
        <f t="shared" si="2"/>
        <v>464</v>
      </c>
      <c r="F96" s="410">
        <f t="shared" si="3"/>
        <v>0.13719692489651095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971</v>
      </c>
      <c r="D97" s="414">
        <v>1054</v>
      </c>
      <c r="E97" s="409">
        <f t="shared" si="2"/>
        <v>83</v>
      </c>
      <c r="F97" s="410">
        <f t="shared" si="3"/>
        <v>8.5478887744593196E-2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1641</v>
      </c>
      <c r="D98" s="414">
        <v>1779</v>
      </c>
      <c r="E98" s="409">
        <f t="shared" si="2"/>
        <v>138</v>
      </c>
      <c r="F98" s="410">
        <f t="shared" si="3"/>
        <v>8.4095063985374766E-2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95305</v>
      </c>
      <c r="D99" s="414">
        <v>108833</v>
      </c>
      <c r="E99" s="409">
        <f t="shared" si="2"/>
        <v>13528</v>
      </c>
      <c r="F99" s="410">
        <f t="shared" si="3"/>
        <v>0.14194428414039137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101299</v>
      </c>
      <c r="D100" s="381">
        <f>SUM(D95:D99)</f>
        <v>115512</v>
      </c>
      <c r="E100" s="401">
        <f t="shared" si="2"/>
        <v>14213</v>
      </c>
      <c r="F100" s="402">
        <f t="shared" si="3"/>
        <v>0.1403074067858518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331.9</v>
      </c>
      <c r="D104" s="416">
        <v>334.8</v>
      </c>
      <c r="E104" s="417">
        <f>+D104-C104</f>
        <v>2.9000000000000341</v>
      </c>
      <c r="F104" s="410">
        <f>IF(C104=0,0,+E104/C104)</f>
        <v>8.7375715576982049E-3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53.9</v>
      </c>
      <c r="D105" s="416">
        <v>62.8</v>
      </c>
      <c r="E105" s="417">
        <f>+D105-C105</f>
        <v>8.8999999999999986</v>
      </c>
      <c r="F105" s="410">
        <f>IF(C105=0,0,+E105/C105)</f>
        <v>0.16512059369202226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734.9</v>
      </c>
      <c r="D106" s="416">
        <v>733.3</v>
      </c>
      <c r="E106" s="417">
        <f>+D106-C106</f>
        <v>-1.6000000000000227</v>
      </c>
      <c r="F106" s="410">
        <f>IF(C106=0,0,+E106/C106)</f>
        <v>-2.1771669614913903E-3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1120.6999999999998</v>
      </c>
      <c r="D107" s="418">
        <f>SUM(D104:D106)</f>
        <v>1130.9000000000001</v>
      </c>
      <c r="E107" s="418">
        <f>+D107-C107</f>
        <v>10.200000000000273</v>
      </c>
      <c r="F107" s="402">
        <f>IF(C107=0,0,+E107/C107)</f>
        <v>9.1014544481130312E-3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zoomScale="75" zoomScaleSheetLayoutView="90" workbookViewId="0">
      <selection sqref="A1:F1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4288</v>
      </c>
      <c r="D12" s="409">
        <v>4523</v>
      </c>
      <c r="E12" s="409">
        <f>+D12-C12</f>
        <v>235</v>
      </c>
      <c r="F12" s="410">
        <f>IF(C12=0,0,+E12/C12)</f>
        <v>5.4804104477611942E-2</v>
      </c>
    </row>
    <row r="13" spans="1:6" ht="15.75" customHeight="1" x14ac:dyDescent="0.25">
      <c r="A13" s="374"/>
      <c r="B13" s="399" t="s">
        <v>622</v>
      </c>
      <c r="C13" s="401">
        <f>SUM(C11:C12)</f>
        <v>4288</v>
      </c>
      <c r="D13" s="401">
        <f>SUM(D11:D12)</f>
        <v>4523</v>
      </c>
      <c r="E13" s="401">
        <f>+D13-C13</f>
        <v>235</v>
      </c>
      <c r="F13" s="402">
        <f>IF(C13=0,0,+E13/C13)</f>
        <v>5.4804104477611942E-2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500</v>
      </c>
      <c r="D16" s="409">
        <v>527</v>
      </c>
      <c r="E16" s="409">
        <f>+D16-C16</f>
        <v>27</v>
      </c>
      <c r="F16" s="410">
        <f>IF(C16=0,0,+E16/C16)</f>
        <v>5.3999999999999999E-2</v>
      </c>
    </row>
    <row r="17" spans="1:6" ht="15.75" customHeight="1" x14ac:dyDescent="0.25">
      <c r="A17" s="374"/>
      <c r="B17" s="399" t="s">
        <v>623</v>
      </c>
      <c r="C17" s="401">
        <f>SUM(C15:C16)</f>
        <v>500</v>
      </c>
      <c r="D17" s="401">
        <f>SUM(D15:D16)</f>
        <v>527</v>
      </c>
      <c r="E17" s="401">
        <f>+D17-C17</f>
        <v>27</v>
      </c>
      <c r="F17" s="402">
        <f>IF(C17=0,0,+E17/C17)</f>
        <v>5.3999999999999999E-2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42573</v>
      </c>
      <c r="D20" s="409">
        <v>39356</v>
      </c>
      <c r="E20" s="409">
        <f>+D20-C20</f>
        <v>-3217</v>
      </c>
      <c r="F20" s="410">
        <f>IF(C20=0,0,+E20/C20)</f>
        <v>-7.5564324806802433E-2</v>
      </c>
    </row>
    <row r="21" spans="1:6" ht="15.75" customHeight="1" x14ac:dyDescent="0.25">
      <c r="A21" s="374"/>
      <c r="B21" s="399" t="s">
        <v>625</v>
      </c>
      <c r="C21" s="401">
        <f>SUM(C19:C20)</f>
        <v>42573</v>
      </c>
      <c r="D21" s="401">
        <f>SUM(D19:D20)</f>
        <v>39356</v>
      </c>
      <c r="E21" s="401">
        <f>+D21-C21</f>
        <v>-3217</v>
      </c>
      <c r="F21" s="402">
        <f>IF(C21=0,0,+E21/C21)</f>
        <v>-7.5564324806802433E-2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abSelected="1" topLeftCell="A286"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278300873</v>
      </c>
      <c r="D15" s="448">
        <v>272490812</v>
      </c>
      <c r="E15" s="448">
        <f t="shared" ref="E15:E24" si="0">D15-C15</f>
        <v>-5810061</v>
      </c>
      <c r="F15" s="449">
        <f t="shared" ref="F15:F24" si="1">IF(C15=0,0,E15/C15)</f>
        <v>-2.0876905405898601E-2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56795308</v>
      </c>
      <c r="D16" s="448">
        <v>69982068</v>
      </c>
      <c r="E16" s="448">
        <f t="shared" si="0"/>
        <v>13186760</v>
      </c>
      <c r="F16" s="449">
        <f t="shared" si="1"/>
        <v>0.2321804470186164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0.20407879927850603</v>
      </c>
      <c r="D17" s="453">
        <f>IF(LN_IA1=0,0,LN_IA2/LN_IA1)</f>
        <v>0.2568235878720197</v>
      </c>
      <c r="E17" s="454">
        <f t="shared" si="0"/>
        <v>5.274478859351367E-2</v>
      </c>
      <c r="F17" s="449">
        <f t="shared" si="1"/>
        <v>0.25845305235029797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5403</v>
      </c>
      <c r="D18" s="456">
        <v>5288</v>
      </c>
      <c r="E18" s="456">
        <f t="shared" si="0"/>
        <v>-115</v>
      </c>
      <c r="F18" s="449">
        <f t="shared" si="1"/>
        <v>-2.1284471589857485E-2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1.4592000000000001</v>
      </c>
      <c r="D19" s="459">
        <v>1.593</v>
      </c>
      <c r="E19" s="460">
        <f t="shared" si="0"/>
        <v>0.13379999999999992</v>
      </c>
      <c r="F19" s="449">
        <f t="shared" si="1"/>
        <v>9.1694078947368363E-2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7884.0576000000001</v>
      </c>
      <c r="D20" s="463">
        <f>LN_IA4*LN_IA5</f>
        <v>8423.7839999999997</v>
      </c>
      <c r="E20" s="463">
        <f t="shared" si="0"/>
        <v>539.72639999999956</v>
      </c>
      <c r="F20" s="449">
        <f t="shared" si="1"/>
        <v>6.8457947339197467E-2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7203.8169787090346</v>
      </c>
      <c r="D21" s="465">
        <f>IF(LN_IA6=0,0,LN_IA2/LN_IA6)</f>
        <v>8307.6759802957913</v>
      </c>
      <c r="E21" s="465">
        <f t="shared" si="0"/>
        <v>1103.8590015867567</v>
      </c>
      <c r="F21" s="449">
        <f t="shared" si="1"/>
        <v>0.15323251615764599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29290</v>
      </c>
      <c r="D22" s="456">
        <v>26566</v>
      </c>
      <c r="E22" s="456">
        <f t="shared" si="0"/>
        <v>-2724</v>
      </c>
      <c r="F22" s="449">
        <f t="shared" si="1"/>
        <v>-9.3001024240355071E-2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1939.0682144076477</v>
      </c>
      <c r="D23" s="465">
        <f>IF(LN_IA8=0,0,LN_IA2/LN_IA8)</f>
        <v>2634.2719265226228</v>
      </c>
      <c r="E23" s="465">
        <f t="shared" si="0"/>
        <v>695.20371211497513</v>
      </c>
      <c r="F23" s="449">
        <f t="shared" si="1"/>
        <v>0.35852462896842852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5.421062372755876</v>
      </c>
      <c r="D24" s="466">
        <f>IF(LN_IA4=0,0,LN_IA8/LN_IA4)</f>
        <v>5.0238275340393344</v>
      </c>
      <c r="E24" s="466">
        <f t="shared" si="0"/>
        <v>-0.39723483871654164</v>
      </c>
      <c r="F24" s="449">
        <f t="shared" si="1"/>
        <v>-7.3276197800801454E-2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150262434</v>
      </c>
      <c r="D27" s="448">
        <v>152686454</v>
      </c>
      <c r="E27" s="448">
        <f t="shared" ref="E27:E32" si="2">D27-C27</f>
        <v>2424020</v>
      </c>
      <c r="F27" s="449">
        <f t="shared" ref="F27:F32" si="3">IF(C27=0,0,E27/C27)</f>
        <v>1.6131909589591768E-2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25664040</v>
      </c>
      <c r="D28" s="448">
        <v>26676565</v>
      </c>
      <c r="E28" s="448">
        <f t="shared" si="2"/>
        <v>1012525</v>
      </c>
      <c r="F28" s="449">
        <f t="shared" si="3"/>
        <v>3.9453063508317475E-2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0.17079478427721995</v>
      </c>
      <c r="D29" s="453">
        <f>IF(LN_IA11=0,0,LN_IA12/LN_IA11)</f>
        <v>0.17471468032128115</v>
      </c>
      <c r="E29" s="454">
        <f t="shared" si="2"/>
        <v>3.9198960440612052E-3</v>
      </c>
      <c r="F29" s="449">
        <f t="shared" si="3"/>
        <v>2.2950911883226802E-2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0.53992800087263826</v>
      </c>
      <c r="D30" s="453">
        <f>IF(LN_IA1=0,0,LN_IA11/LN_IA1)</f>
        <v>0.56033615548108828</v>
      </c>
      <c r="E30" s="454">
        <f t="shared" si="2"/>
        <v>2.0408154608450024E-2</v>
      </c>
      <c r="F30" s="449">
        <f t="shared" si="3"/>
        <v>3.7797918565931225E-2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2917.2309887148645</v>
      </c>
      <c r="D31" s="463">
        <f>LN_IA14*LN_IA4</f>
        <v>2963.0575901839948</v>
      </c>
      <c r="E31" s="463">
        <f t="shared" si="2"/>
        <v>45.82660146913031</v>
      </c>
      <c r="F31" s="449">
        <f t="shared" si="3"/>
        <v>1.5708938252201422E-2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8797.3972919113439</v>
      </c>
      <c r="D32" s="465">
        <f>IF(LN_IA15=0,0,LN_IA12/LN_IA15)</f>
        <v>9003.0531598083071</v>
      </c>
      <c r="E32" s="465">
        <f t="shared" si="2"/>
        <v>205.65586789696317</v>
      </c>
      <c r="F32" s="449">
        <f t="shared" si="3"/>
        <v>2.3376898993302357E-2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428563307</v>
      </c>
      <c r="D35" s="448">
        <f>LN_IA1+LN_IA11</f>
        <v>425177266</v>
      </c>
      <c r="E35" s="448">
        <f>D35-C35</f>
        <v>-3386041</v>
      </c>
      <c r="F35" s="449">
        <f>IF(C35=0,0,E35/C35)</f>
        <v>-7.9009120582504751E-3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82459348</v>
      </c>
      <c r="D36" s="448">
        <f>LN_IA2+LN_IA12</f>
        <v>96658633</v>
      </c>
      <c r="E36" s="448">
        <f>D36-C36</f>
        <v>14199285</v>
      </c>
      <c r="F36" s="449">
        <f>IF(C36=0,0,E36/C36)</f>
        <v>0.17219739598232089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346103959</v>
      </c>
      <c r="D37" s="448">
        <f>LN_IA17-LN_IA18</f>
        <v>328518633</v>
      </c>
      <c r="E37" s="448">
        <f>D37-C37</f>
        <v>-17585326</v>
      </c>
      <c r="F37" s="449">
        <f>IF(C37=0,0,E37/C37)</f>
        <v>-5.0809375457042949E-2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122009934</v>
      </c>
      <c r="D42" s="448">
        <v>119415398</v>
      </c>
      <c r="E42" s="448">
        <f t="shared" ref="E42:E53" si="4">D42-C42</f>
        <v>-2594536</v>
      </c>
      <c r="F42" s="449">
        <f t="shared" ref="F42:F53" si="5">IF(C42=0,0,E42/C42)</f>
        <v>-2.1264956999321055E-2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37264776</v>
      </c>
      <c r="D43" s="448">
        <v>38793560</v>
      </c>
      <c r="E43" s="448">
        <f t="shared" si="4"/>
        <v>1528784</v>
      </c>
      <c r="F43" s="449">
        <f t="shared" si="5"/>
        <v>4.1024907811065332E-2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0.30542411407254755</v>
      </c>
      <c r="D44" s="453">
        <f>IF(LN_IB1=0,0,LN_IB2/LN_IB1)</f>
        <v>0.32486229288454072</v>
      </c>
      <c r="E44" s="454">
        <f t="shared" si="4"/>
        <v>1.9438178811993168E-2</v>
      </c>
      <c r="F44" s="449">
        <f t="shared" si="5"/>
        <v>6.3643235476082957E-2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2897</v>
      </c>
      <c r="D45" s="456">
        <v>2753</v>
      </c>
      <c r="E45" s="456">
        <f t="shared" si="4"/>
        <v>-144</v>
      </c>
      <c r="F45" s="449">
        <f t="shared" si="5"/>
        <v>-4.970659302726959E-2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1.2577</v>
      </c>
      <c r="D46" s="459">
        <v>1.3774</v>
      </c>
      <c r="E46" s="460">
        <f t="shared" si="4"/>
        <v>0.11969999999999992</v>
      </c>
      <c r="F46" s="449">
        <f t="shared" si="5"/>
        <v>9.5173729824282349E-2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3643.5569</v>
      </c>
      <c r="D47" s="463">
        <f>LN_IB4*LN_IB5</f>
        <v>3791.9821999999999</v>
      </c>
      <c r="E47" s="463">
        <f t="shared" si="4"/>
        <v>148.42529999999988</v>
      </c>
      <c r="F47" s="449">
        <f t="shared" si="5"/>
        <v>4.0736374941749878E-2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10227.581734760339</v>
      </c>
      <c r="D48" s="465">
        <f>IF(LN_IB6=0,0,LN_IB2/LN_IB6)</f>
        <v>10230.417220840331</v>
      </c>
      <c r="E48" s="465">
        <f t="shared" si="4"/>
        <v>2.8354860799918242</v>
      </c>
      <c r="F48" s="449">
        <f t="shared" si="5"/>
        <v>2.7723915129955864E-4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-3023.7647560513042</v>
      </c>
      <c r="D49" s="465">
        <f>LN_IA7-LN_IB7</f>
        <v>-1922.7412405445393</v>
      </c>
      <c r="E49" s="465">
        <f t="shared" si="4"/>
        <v>1101.0235155067649</v>
      </c>
      <c r="F49" s="449">
        <f t="shared" si="5"/>
        <v>-0.36412340388032616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-11017258.940887546</v>
      </c>
      <c r="D50" s="479">
        <f>LN_IB8*LN_IB6</f>
        <v>-7291000.5593508109</v>
      </c>
      <c r="E50" s="479">
        <f t="shared" si="4"/>
        <v>3726258.3815367352</v>
      </c>
      <c r="F50" s="449">
        <f t="shared" si="5"/>
        <v>-0.33822009644411144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11296</v>
      </c>
      <c r="D51" s="456">
        <v>10071</v>
      </c>
      <c r="E51" s="456">
        <f t="shared" si="4"/>
        <v>-1225</v>
      </c>
      <c r="F51" s="449">
        <f t="shared" si="5"/>
        <v>-0.10844546742209632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3298.9355524079319</v>
      </c>
      <c r="D52" s="465">
        <f>IF(LN_IB10=0,0,LN_IB2/LN_IB10)</f>
        <v>3852.0067520603716</v>
      </c>
      <c r="E52" s="465">
        <f t="shared" si="4"/>
        <v>553.07119965243965</v>
      </c>
      <c r="F52" s="449">
        <f t="shared" si="5"/>
        <v>0.16765141084637025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3.8992060752502589</v>
      </c>
      <c r="D53" s="466">
        <f>IF(LN_IB4=0,0,LN_IB10/LN_IB4)</f>
        <v>3.6581910642934981</v>
      </c>
      <c r="E53" s="466">
        <f t="shared" si="4"/>
        <v>-0.24101501095676081</v>
      </c>
      <c r="F53" s="449">
        <f t="shared" si="5"/>
        <v>-6.1811303712972387E-2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159979736</v>
      </c>
      <c r="D56" s="448">
        <v>163568610</v>
      </c>
      <c r="E56" s="448">
        <f t="shared" ref="E56:E63" si="6">D56-C56</f>
        <v>3588874</v>
      </c>
      <c r="F56" s="449">
        <f t="shared" ref="F56:F63" si="7">IF(C56=0,0,E56/C56)</f>
        <v>2.2433303677910809E-2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41079661</v>
      </c>
      <c r="D57" s="448">
        <v>36742484</v>
      </c>
      <c r="E57" s="448">
        <f t="shared" si="6"/>
        <v>-4337177</v>
      </c>
      <c r="F57" s="449">
        <f t="shared" si="7"/>
        <v>-0.10557966873193038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0.25678040248797512</v>
      </c>
      <c r="D58" s="453">
        <f>IF(LN_IB13=0,0,LN_IB14/LN_IB13)</f>
        <v>0.22463041044366641</v>
      </c>
      <c r="E58" s="454">
        <f t="shared" si="6"/>
        <v>-3.2149992044308712E-2</v>
      </c>
      <c r="F58" s="449">
        <f t="shared" si="7"/>
        <v>-0.12520422794264557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1.311202545196033</v>
      </c>
      <c r="D59" s="453">
        <f>IF(LN_IB1=0,0,LN_IB13/LN_IB1)</f>
        <v>1.3697447124867432</v>
      </c>
      <c r="E59" s="454">
        <f t="shared" si="6"/>
        <v>5.8542167290710267E-2</v>
      </c>
      <c r="F59" s="449">
        <f t="shared" si="7"/>
        <v>4.4647691926160686E-2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3798.5537734329073</v>
      </c>
      <c r="D60" s="463">
        <f>LN_IB16*LN_IB4</f>
        <v>3770.9071934760041</v>
      </c>
      <c r="E60" s="463">
        <f t="shared" si="6"/>
        <v>-27.646579956903224</v>
      </c>
      <c r="F60" s="449">
        <f t="shared" si="7"/>
        <v>-7.278185753289439E-3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10814.552972057743</v>
      </c>
      <c r="D61" s="465">
        <f>IF(LN_IB17=0,0,LN_IB14/LN_IB17)</f>
        <v>9743.6723087663577</v>
      </c>
      <c r="E61" s="465">
        <f t="shared" si="6"/>
        <v>-1070.8806632913856</v>
      </c>
      <c r="F61" s="449">
        <f t="shared" si="7"/>
        <v>-9.9022184833556126E-2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-2017.1556801463994</v>
      </c>
      <c r="D62" s="465">
        <f>LN_IA16-LN_IB18</f>
        <v>-740.61914895805057</v>
      </c>
      <c r="E62" s="465">
        <f t="shared" si="6"/>
        <v>1276.5365311883488</v>
      </c>
      <c r="F62" s="449">
        <f t="shared" si="7"/>
        <v>-0.63283986642800993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-7662274.3204217283</v>
      </c>
      <c r="D63" s="448">
        <f>LN_IB19*LN_IB17</f>
        <v>-2792806.0764319892</v>
      </c>
      <c r="E63" s="448">
        <f t="shared" si="6"/>
        <v>4869468.2439897396</v>
      </c>
      <c r="F63" s="449">
        <f t="shared" si="7"/>
        <v>-0.63551212608134944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281989670</v>
      </c>
      <c r="D66" s="448">
        <f>LN_IB1+LN_IB13</f>
        <v>282984008</v>
      </c>
      <c r="E66" s="448">
        <f>D66-C66</f>
        <v>994338</v>
      </c>
      <c r="F66" s="449">
        <f>IF(C66=0,0,E66/C66)</f>
        <v>3.5261504437378859E-3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78344437</v>
      </c>
      <c r="D67" s="448">
        <f>LN_IB2+LN_IB14</f>
        <v>75536044</v>
      </c>
      <c r="E67" s="448">
        <f>D67-C67</f>
        <v>-2808393</v>
      </c>
      <c r="F67" s="449">
        <f>IF(C67=0,0,E67/C67)</f>
        <v>-3.5846744294046044E-2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203645233</v>
      </c>
      <c r="D68" s="448">
        <f>LN_IB21-LN_IB22</f>
        <v>207447964</v>
      </c>
      <c r="E68" s="448">
        <f>D68-C68</f>
        <v>3802731</v>
      </c>
      <c r="F68" s="449">
        <f>IF(C68=0,0,E68/C68)</f>
        <v>1.8673312131985923E-2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-18679533.261309274</v>
      </c>
      <c r="D70" s="441">
        <f>LN_IB9+LN_IB20</f>
        <v>-10083806.635782801</v>
      </c>
      <c r="E70" s="448">
        <f>D70-C70</f>
        <v>8595726.6255264729</v>
      </c>
      <c r="F70" s="449">
        <f>IF(C70=0,0,E70/C70)</f>
        <v>-0.46016816936913052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263412870</v>
      </c>
      <c r="D73" s="488">
        <v>261694975</v>
      </c>
      <c r="E73" s="488">
        <f>D73-C73</f>
        <v>-1717895</v>
      </c>
      <c r="F73" s="489">
        <f>IF(C73=0,0,E73/C73)</f>
        <v>-6.5216821030802327E-3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75476541</v>
      </c>
      <c r="D74" s="488">
        <v>72333072</v>
      </c>
      <c r="E74" s="488">
        <f>D74-C74</f>
        <v>-3143469</v>
      </c>
      <c r="F74" s="489">
        <f>IF(C74=0,0,E74/C74)</f>
        <v>-4.1648291752002783E-2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187936329</v>
      </c>
      <c r="D76" s="441">
        <f>LN_IB32-LN_IB33</f>
        <v>189361903</v>
      </c>
      <c r="E76" s="488">
        <f>D76-C76</f>
        <v>1425574</v>
      </c>
      <c r="F76" s="489">
        <f>IF(E76=0,0,E76/C76)</f>
        <v>7.5854094181013829E-3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0.71346676796771547</v>
      </c>
      <c r="D77" s="453">
        <f>IF(LN_IB32=0,0,LN_IB34/LN_IB32)</f>
        <v>0.72359778020193166</v>
      </c>
      <c r="E77" s="493">
        <f>D77-C77</f>
        <v>1.0131012234216197E-2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2869380</v>
      </c>
      <c r="D83" s="448">
        <v>3893002</v>
      </c>
      <c r="E83" s="448">
        <f t="shared" ref="E83:E95" si="8">D83-C83</f>
        <v>1023622</v>
      </c>
      <c r="F83" s="449">
        <f t="shared" ref="F83:F95" si="9">IF(C83=0,0,E83/C83)</f>
        <v>0.35673978350723851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179431</v>
      </c>
      <c r="D84" s="448">
        <v>204420</v>
      </c>
      <c r="E84" s="448">
        <f t="shared" si="8"/>
        <v>24989</v>
      </c>
      <c r="F84" s="449">
        <f t="shared" si="9"/>
        <v>0.13926801946152004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6.2533021070753966E-2</v>
      </c>
      <c r="D85" s="453">
        <f>IF(LN_IC1=0,0,LN_IC2/LN_IC1)</f>
        <v>5.2509605697608167E-2</v>
      </c>
      <c r="E85" s="454">
        <f t="shared" si="8"/>
        <v>-1.00234153731458E-2</v>
      </c>
      <c r="F85" s="449">
        <f t="shared" si="9"/>
        <v>-0.16028995883318431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101</v>
      </c>
      <c r="D86" s="456">
        <v>99</v>
      </c>
      <c r="E86" s="456">
        <f t="shared" si="8"/>
        <v>-2</v>
      </c>
      <c r="F86" s="449">
        <f t="shared" si="9"/>
        <v>-1.9801980198019802E-2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1.0122</v>
      </c>
      <c r="D87" s="459">
        <v>1.1895</v>
      </c>
      <c r="E87" s="460">
        <f t="shared" si="8"/>
        <v>0.17730000000000001</v>
      </c>
      <c r="F87" s="449">
        <f t="shared" si="9"/>
        <v>0.17516301126259634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102.23220000000001</v>
      </c>
      <c r="D88" s="463">
        <f>LN_IC4*LN_IC5</f>
        <v>117.76049999999999</v>
      </c>
      <c r="E88" s="463">
        <f t="shared" si="8"/>
        <v>15.528299999999987</v>
      </c>
      <c r="F88" s="449">
        <f t="shared" si="9"/>
        <v>0.15189245658412895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1755.1319447297426</v>
      </c>
      <c r="D89" s="465">
        <f>IF(LN_IC6=0,0,LN_IC2/LN_IC6)</f>
        <v>1735.8961621256703</v>
      </c>
      <c r="E89" s="465">
        <f t="shared" si="8"/>
        <v>-19.235782604072256</v>
      </c>
      <c r="F89" s="449">
        <f t="shared" si="9"/>
        <v>-1.0959735911498212E-2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8472.449790030596</v>
      </c>
      <c r="D90" s="465">
        <f>LN_IB7-LN_IC7</f>
        <v>8494.5210587146612</v>
      </c>
      <c r="E90" s="465">
        <f t="shared" si="8"/>
        <v>22.071268684065217</v>
      </c>
      <c r="F90" s="449">
        <f t="shared" si="9"/>
        <v>2.6050633796657193E-3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5448.6850339792918</v>
      </c>
      <c r="D91" s="465">
        <f>LN_IA7-LN_IC7</f>
        <v>6571.779818170121</v>
      </c>
      <c r="E91" s="465">
        <f t="shared" si="8"/>
        <v>1123.0947841908292</v>
      </c>
      <c r="F91" s="449">
        <f t="shared" si="9"/>
        <v>0.20612217024602153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557031.05813077779</v>
      </c>
      <c r="D92" s="441">
        <f>LN_IC9*LN_IC6</f>
        <v>773896.07727762253</v>
      </c>
      <c r="E92" s="441">
        <f t="shared" si="8"/>
        <v>216865.01914684474</v>
      </c>
      <c r="F92" s="449">
        <f t="shared" si="9"/>
        <v>0.38932302962527082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314</v>
      </c>
      <c r="D93" s="456">
        <v>404</v>
      </c>
      <c r="E93" s="456">
        <f t="shared" si="8"/>
        <v>90</v>
      </c>
      <c r="F93" s="449">
        <f t="shared" si="9"/>
        <v>0.28662420382165604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571.43630573248413</v>
      </c>
      <c r="D94" s="499">
        <f>IF(LN_IC11=0,0,LN_IC2/LN_IC11)</f>
        <v>505.99009900990097</v>
      </c>
      <c r="E94" s="499">
        <f t="shared" si="8"/>
        <v>-65.446206722583156</v>
      </c>
      <c r="F94" s="449">
        <f t="shared" si="9"/>
        <v>-0.11452931160664048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3.108910891089109</v>
      </c>
      <c r="D95" s="466">
        <f>IF(LN_IC4=0,0,LN_IC11/LN_IC4)</f>
        <v>4.0808080808080804</v>
      </c>
      <c r="E95" s="466">
        <f t="shared" si="8"/>
        <v>0.97189718971897143</v>
      </c>
      <c r="F95" s="449">
        <f t="shared" si="9"/>
        <v>0.31261661197966917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5932157</v>
      </c>
      <c r="D98" s="448">
        <v>7447832</v>
      </c>
      <c r="E98" s="448">
        <f t="shared" ref="E98:E106" si="10">D98-C98</f>
        <v>1515675</v>
      </c>
      <c r="F98" s="449">
        <f t="shared" ref="F98:F106" si="11">IF(C98=0,0,E98/C98)</f>
        <v>0.25550149802171451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1216331</v>
      </c>
      <c r="D99" s="448">
        <v>3228369</v>
      </c>
      <c r="E99" s="448">
        <f t="shared" si="10"/>
        <v>2012038</v>
      </c>
      <c r="F99" s="449">
        <f t="shared" si="11"/>
        <v>1.6541862371344642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0.2050402577005295</v>
      </c>
      <c r="D100" s="453">
        <f>IF(LN_IC14=0,0,LN_IC15/LN_IC14)</f>
        <v>0.43346426181471331</v>
      </c>
      <c r="E100" s="454">
        <f t="shared" si="10"/>
        <v>0.22842400411418382</v>
      </c>
      <c r="F100" s="449">
        <f t="shared" si="11"/>
        <v>1.1140446596970597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2.0674002746237865</v>
      </c>
      <c r="D101" s="453">
        <f>IF(LN_IC1=0,0,LN_IC14/LN_IC1)</f>
        <v>1.9131333608356738</v>
      </c>
      <c r="E101" s="454">
        <f t="shared" si="10"/>
        <v>-0.15426691378811275</v>
      </c>
      <c r="F101" s="449">
        <f t="shared" si="11"/>
        <v>-7.4618793313348739E-2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208.80742773700243</v>
      </c>
      <c r="D102" s="463">
        <f>LN_IC17*LN_IC4</f>
        <v>189.40020272273171</v>
      </c>
      <c r="E102" s="463">
        <f t="shared" si="10"/>
        <v>-19.407225014270722</v>
      </c>
      <c r="F102" s="449">
        <f t="shared" si="11"/>
        <v>-9.2943173643777424E-2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5825.1328182252009</v>
      </c>
      <c r="D103" s="465">
        <f>IF(LN_IC18=0,0,LN_IC15/LN_IC18)</f>
        <v>17045.224628012147</v>
      </c>
      <c r="E103" s="465">
        <f t="shared" si="10"/>
        <v>11220.091809786947</v>
      </c>
      <c r="F103" s="449">
        <f t="shared" si="11"/>
        <v>1.9261520998598416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4989.4201538325424</v>
      </c>
      <c r="D104" s="465">
        <f>LN_IB18-LN_IC19</f>
        <v>-7301.5523192457895</v>
      </c>
      <c r="E104" s="465">
        <f t="shared" si="10"/>
        <v>-12290.972473078331</v>
      </c>
      <c r="F104" s="449">
        <f t="shared" si="11"/>
        <v>-2.4634069880118674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2972.264473686143</v>
      </c>
      <c r="D105" s="465">
        <f>LN_IA16-LN_IC19</f>
        <v>-8042.17146820384</v>
      </c>
      <c r="E105" s="465">
        <f t="shared" si="10"/>
        <v>-11014.435941889984</v>
      </c>
      <c r="F105" s="449">
        <f t="shared" si="11"/>
        <v>-3.7057388531210012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620630.89930447889</v>
      </c>
      <c r="D106" s="448">
        <f>LN_IC21*LN_IC18</f>
        <v>-1523188.9064087763</v>
      </c>
      <c r="E106" s="448">
        <f t="shared" si="10"/>
        <v>-2143819.805713255</v>
      </c>
      <c r="F106" s="449">
        <f t="shared" si="11"/>
        <v>-3.4542588970606602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8801537</v>
      </c>
      <c r="D109" s="448">
        <f>LN_IC1+LN_IC14</f>
        <v>11340834</v>
      </c>
      <c r="E109" s="448">
        <f>D109-C109</f>
        <v>2539297</v>
      </c>
      <c r="F109" s="449">
        <f>IF(C109=0,0,E109/C109)</f>
        <v>0.28850608706183933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1395762</v>
      </c>
      <c r="D110" s="448">
        <f>LN_IC2+LN_IC15</f>
        <v>3432789</v>
      </c>
      <c r="E110" s="448">
        <f>D110-C110</f>
        <v>2037027</v>
      </c>
      <c r="F110" s="449">
        <f>IF(C110=0,0,E110/C110)</f>
        <v>1.4594372106419289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7405775</v>
      </c>
      <c r="D111" s="448">
        <f>LN_IC23-LN_IC24</f>
        <v>7908045</v>
      </c>
      <c r="E111" s="448">
        <f>D111-C111</f>
        <v>502270</v>
      </c>
      <c r="F111" s="449">
        <f>IF(C111=0,0,E111/C111)</f>
        <v>6.7821396140174392E-2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1177661.9574352568</v>
      </c>
      <c r="D113" s="448">
        <f>LN_IC10+LN_IC22</f>
        <v>-749292.82913115376</v>
      </c>
      <c r="E113" s="448">
        <f>D113-C113</f>
        <v>-1926954.7865664107</v>
      </c>
      <c r="F113" s="449">
        <f>IF(C113=0,0,E113/C113)</f>
        <v>-1.6362545927551091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104268326</v>
      </c>
      <c r="D118" s="448">
        <v>113625600</v>
      </c>
      <c r="E118" s="448">
        <f t="shared" ref="E118:E130" si="12">D118-C118</f>
        <v>9357274</v>
      </c>
      <c r="F118" s="449">
        <f t="shared" ref="F118:F130" si="13">IF(C118=0,0,E118/C118)</f>
        <v>8.9742248283529558E-2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21903510</v>
      </c>
      <c r="D119" s="448">
        <v>20681987</v>
      </c>
      <c r="E119" s="448">
        <f t="shared" si="12"/>
        <v>-1221523</v>
      </c>
      <c r="F119" s="449">
        <f t="shared" si="13"/>
        <v>-5.5768367718233285E-2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0.21006868375349194</v>
      </c>
      <c r="D120" s="453">
        <f>IF(LN_ID1=0,0,LN_1D2/LN_ID1)</f>
        <v>0.1820187264137659</v>
      </c>
      <c r="E120" s="454">
        <f t="shared" si="12"/>
        <v>-2.8049957339726039E-2</v>
      </c>
      <c r="F120" s="449">
        <f t="shared" si="13"/>
        <v>-0.13352755317228368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3324</v>
      </c>
      <c r="D121" s="456">
        <v>3582</v>
      </c>
      <c r="E121" s="456">
        <f t="shared" si="12"/>
        <v>258</v>
      </c>
      <c r="F121" s="449">
        <f t="shared" si="13"/>
        <v>7.7617328519855602E-2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0.97370000000000001</v>
      </c>
      <c r="D122" s="459">
        <v>1.0906</v>
      </c>
      <c r="E122" s="460">
        <f t="shared" si="12"/>
        <v>0.1169</v>
      </c>
      <c r="F122" s="449">
        <f t="shared" si="13"/>
        <v>0.12005751258087707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3236.5788000000002</v>
      </c>
      <c r="D123" s="463">
        <f>LN_ID4*LN_ID5</f>
        <v>3906.5291999999999</v>
      </c>
      <c r="E123" s="463">
        <f t="shared" si="12"/>
        <v>669.95039999999972</v>
      </c>
      <c r="F123" s="449">
        <f t="shared" si="13"/>
        <v>0.20699338449599919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6767.4885592156752</v>
      </c>
      <c r="D124" s="465">
        <f>IF(LN_ID6=0,0,LN_1D2/LN_ID6)</f>
        <v>5294.210267262305</v>
      </c>
      <c r="E124" s="465">
        <f t="shared" si="12"/>
        <v>-1473.2782919533702</v>
      </c>
      <c r="F124" s="449">
        <f t="shared" si="13"/>
        <v>-0.21769941375772597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3460.0931755446636</v>
      </c>
      <c r="D125" s="465">
        <f>LN_IB7-LN_ID7</f>
        <v>4936.2069535780256</v>
      </c>
      <c r="E125" s="465">
        <f t="shared" si="12"/>
        <v>1476.113778033362</v>
      </c>
      <c r="F125" s="449">
        <f t="shared" si="13"/>
        <v>0.42661099084448861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436.32841949335943</v>
      </c>
      <c r="D126" s="465">
        <f>LN_IA7-LN_ID7</f>
        <v>3013.4657130334863</v>
      </c>
      <c r="E126" s="465">
        <f t="shared" si="12"/>
        <v>2577.1372935401268</v>
      </c>
      <c r="F126" s="449">
        <f t="shared" si="13"/>
        <v>5.9064163102934186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1412211.312369714</v>
      </c>
      <c r="D127" s="479">
        <f>LN_ID9*LN_ID6</f>
        <v>11772191.801164135</v>
      </c>
      <c r="E127" s="479">
        <f t="shared" si="12"/>
        <v>10359980.488794422</v>
      </c>
      <c r="F127" s="449">
        <f t="shared" si="13"/>
        <v>7.3359987970994247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14685</v>
      </c>
      <c r="D128" s="456">
        <v>15884</v>
      </c>
      <c r="E128" s="456">
        <f t="shared" si="12"/>
        <v>1199</v>
      </c>
      <c r="F128" s="449">
        <f t="shared" si="13"/>
        <v>8.1647940074906361E-2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1491.5566905005107</v>
      </c>
      <c r="D129" s="465">
        <f>IF(LN_ID11=0,0,LN_1D2/LN_ID11)</f>
        <v>1302.0641526063964</v>
      </c>
      <c r="E129" s="465">
        <f t="shared" si="12"/>
        <v>-189.49253789411432</v>
      </c>
      <c r="F129" s="449">
        <f t="shared" si="13"/>
        <v>-0.12704347015501483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4.4178700361010828</v>
      </c>
      <c r="D130" s="466">
        <f>IF(LN_ID4=0,0,LN_ID11/LN_ID4)</f>
        <v>4.4343941931881634</v>
      </c>
      <c r="E130" s="466">
        <f t="shared" si="12"/>
        <v>1.652415708708066E-2</v>
      </c>
      <c r="F130" s="449">
        <f t="shared" si="13"/>
        <v>3.7402994999970116E-3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99862668</v>
      </c>
      <c r="D133" s="448">
        <v>103742526</v>
      </c>
      <c r="E133" s="448">
        <f t="shared" ref="E133:E141" si="14">D133-C133</f>
        <v>3879858</v>
      </c>
      <c r="F133" s="449">
        <f t="shared" ref="F133:F141" si="15">IF(C133=0,0,E133/C133)</f>
        <v>3.8851936140941075E-2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17436349</v>
      </c>
      <c r="D134" s="448">
        <v>18907742</v>
      </c>
      <c r="E134" s="448">
        <f t="shared" si="14"/>
        <v>1471393</v>
      </c>
      <c r="F134" s="449">
        <f t="shared" si="15"/>
        <v>8.4386530689423575E-2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0.17460327617123148</v>
      </c>
      <c r="D135" s="453">
        <f>IF(LN_ID14=0,0,LN_ID15/LN_ID14)</f>
        <v>0.18225642587495894</v>
      </c>
      <c r="E135" s="454">
        <f t="shared" si="14"/>
        <v>7.6531497037274632E-3</v>
      </c>
      <c r="F135" s="449">
        <f t="shared" si="15"/>
        <v>4.383165007867381E-2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0.95774691923221245</v>
      </c>
      <c r="D136" s="453">
        <f>IF(LN_ID1=0,0,LN_ID14/LN_ID1)</f>
        <v>0.91302071012166275</v>
      </c>
      <c r="E136" s="454">
        <f t="shared" si="14"/>
        <v>-4.4726209110549697E-2</v>
      </c>
      <c r="F136" s="449">
        <f t="shared" si="15"/>
        <v>-4.6699402746609636E-2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3183.5507595278741</v>
      </c>
      <c r="D137" s="463">
        <f>LN_ID17*LN_ID4</f>
        <v>3270.4401836557959</v>
      </c>
      <c r="E137" s="463">
        <f t="shared" si="14"/>
        <v>86.889424127921757</v>
      </c>
      <c r="F137" s="449">
        <f t="shared" si="15"/>
        <v>2.7293242888581305E-2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5477.013032638386</v>
      </c>
      <c r="D138" s="465">
        <f>IF(LN_ID18=0,0,LN_ID15/LN_ID18)</f>
        <v>5781.4058469842921</v>
      </c>
      <c r="E138" s="465">
        <f t="shared" si="14"/>
        <v>304.39281434590612</v>
      </c>
      <c r="F138" s="449">
        <f t="shared" si="15"/>
        <v>5.5576426883043963E-2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5337.5399394193573</v>
      </c>
      <c r="D139" s="465">
        <f>LN_IB18-LN_ID19</f>
        <v>3962.2664617820656</v>
      </c>
      <c r="E139" s="465">
        <f t="shared" si="14"/>
        <v>-1375.2734776372918</v>
      </c>
      <c r="F139" s="449">
        <f t="shared" si="15"/>
        <v>-0.25766055022473527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3320.3842592729579</v>
      </c>
      <c r="D140" s="465">
        <f>LN_IA16-LN_ID19</f>
        <v>3221.647312824015</v>
      </c>
      <c r="E140" s="465">
        <f t="shared" si="14"/>
        <v>-98.736946448942945</v>
      </c>
      <c r="F140" s="449">
        <f t="shared" si="15"/>
        <v>-2.9736602374618747E-2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10570611.830532823</v>
      </c>
      <c r="D141" s="441">
        <f>LN_ID21*LN_ID18</f>
        <v>10536204.829426372</v>
      </c>
      <c r="E141" s="441">
        <f t="shared" si="14"/>
        <v>-34407.001106450334</v>
      </c>
      <c r="F141" s="449">
        <f t="shared" si="15"/>
        <v>-3.2549677973290987E-3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204130994</v>
      </c>
      <c r="D144" s="448">
        <f>LN_ID1+LN_ID14</f>
        <v>217368126</v>
      </c>
      <c r="E144" s="448">
        <f>D144-C144</f>
        <v>13237132</v>
      </c>
      <c r="F144" s="449">
        <f>IF(C144=0,0,E144/C144)</f>
        <v>6.4846262395606619E-2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39339859</v>
      </c>
      <c r="D145" s="448">
        <f>LN_1D2+LN_ID15</f>
        <v>39589729</v>
      </c>
      <c r="E145" s="448">
        <f>D145-C145</f>
        <v>249870</v>
      </c>
      <c r="F145" s="449">
        <f>IF(C145=0,0,E145/C145)</f>
        <v>6.3515733495638606E-3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164791135</v>
      </c>
      <c r="D146" s="448">
        <f>LN_ID23-LN_ID24</f>
        <v>177778397</v>
      </c>
      <c r="E146" s="448">
        <f>D146-C146</f>
        <v>12987262</v>
      </c>
      <c r="F146" s="449">
        <f>IF(C146=0,0,E146/C146)</f>
        <v>7.8810440865038037E-2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11982823.142902536</v>
      </c>
      <c r="D148" s="448">
        <f>LN_ID10+LN_ID22</f>
        <v>22308396.630590506</v>
      </c>
      <c r="E148" s="448">
        <f>D148-C148</f>
        <v>10325573.48768797</v>
      </c>
      <c r="F148" s="503">
        <f>IF(C148=0,0,E148/C148)</f>
        <v>0.86169789577540745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10227.581734760339</v>
      </c>
      <c r="D160" s="465">
        <f>LN_IB7-LN_IE7</f>
        <v>10230.417220840331</v>
      </c>
      <c r="E160" s="465">
        <f t="shared" si="16"/>
        <v>2.8354860799918242</v>
      </c>
      <c r="F160" s="449">
        <f t="shared" si="17"/>
        <v>2.7723915129955864E-4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7203.8169787090346</v>
      </c>
      <c r="D161" s="465">
        <f>LN_IA7-LN_IE7</f>
        <v>8307.6759802957913</v>
      </c>
      <c r="E161" s="465">
        <f t="shared" si="16"/>
        <v>1103.8590015867567</v>
      </c>
      <c r="F161" s="449">
        <f t="shared" si="17"/>
        <v>0.15323251615764599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10814.552972057743</v>
      </c>
      <c r="D174" s="465">
        <f>LN_IB18-LN_IE19</f>
        <v>9743.6723087663577</v>
      </c>
      <c r="E174" s="465">
        <f t="shared" si="18"/>
        <v>-1070.8806632913856</v>
      </c>
      <c r="F174" s="449">
        <f t="shared" si="19"/>
        <v>-9.9022184833556126E-2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8797.3972919113439</v>
      </c>
      <c r="D175" s="465">
        <f>LN_IA16-LN_IE19</f>
        <v>9003.0531598083071</v>
      </c>
      <c r="E175" s="465">
        <f t="shared" si="18"/>
        <v>205.65586789696317</v>
      </c>
      <c r="F175" s="449">
        <f t="shared" si="19"/>
        <v>2.3376898993302357E-2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104268326</v>
      </c>
      <c r="D188" s="448">
        <f>LN_ID1+LN_IE1</f>
        <v>113625600</v>
      </c>
      <c r="E188" s="448">
        <f t="shared" ref="E188:E200" si="20">D188-C188</f>
        <v>9357274</v>
      </c>
      <c r="F188" s="449">
        <f t="shared" ref="F188:F200" si="21">IF(C188=0,0,E188/C188)</f>
        <v>8.9742248283529558E-2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21903510</v>
      </c>
      <c r="D189" s="448">
        <f>LN_1D2+LN_IE2</f>
        <v>20681987</v>
      </c>
      <c r="E189" s="448">
        <f t="shared" si="20"/>
        <v>-1221523</v>
      </c>
      <c r="F189" s="449">
        <f t="shared" si="21"/>
        <v>-5.5768367718233285E-2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0.21006868375349194</v>
      </c>
      <c r="D190" s="453">
        <f>IF(LN_IF1=0,0,LN_IF2/LN_IF1)</f>
        <v>0.1820187264137659</v>
      </c>
      <c r="E190" s="454">
        <f t="shared" si="20"/>
        <v>-2.8049957339726039E-2</v>
      </c>
      <c r="F190" s="449">
        <f t="shared" si="21"/>
        <v>-0.13352755317228368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3324</v>
      </c>
      <c r="D191" s="456">
        <f>LN_ID4+LN_IE4</f>
        <v>3582</v>
      </c>
      <c r="E191" s="456">
        <f t="shared" si="20"/>
        <v>258</v>
      </c>
      <c r="F191" s="449">
        <f t="shared" si="21"/>
        <v>7.7617328519855602E-2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0.97370000000000012</v>
      </c>
      <c r="D192" s="459">
        <f>IF((LN_ID4+LN_IE4)=0,0,(LN_ID6+LN_IE6)/(LN_ID4+LN_IE4))</f>
        <v>1.0906</v>
      </c>
      <c r="E192" s="460">
        <f t="shared" si="20"/>
        <v>0.11689999999999989</v>
      </c>
      <c r="F192" s="449">
        <f t="shared" si="21"/>
        <v>0.12005751258087694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3236.5788000000002</v>
      </c>
      <c r="D193" s="463">
        <f>LN_IF4*LN_IF5</f>
        <v>3906.5291999999999</v>
      </c>
      <c r="E193" s="463">
        <f t="shared" si="20"/>
        <v>669.95039999999972</v>
      </c>
      <c r="F193" s="449">
        <f t="shared" si="21"/>
        <v>0.20699338449599919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6767.4885592156752</v>
      </c>
      <c r="D194" s="465">
        <f>IF(LN_IF6=0,0,LN_IF2/LN_IF6)</f>
        <v>5294.210267262305</v>
      </c>
      <c r="E194" s="465">
        <f t="shared" si="20"/>
        <v>-1473.2782919533702</v>
      </c>
      <c r="F194" s="449">
        <f t="shared" si="21"/>
        <v>-0.21769941375772597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3460.0931755446636</v>
      </c>
      <c r="D195" s="465">
        <f>LN_IB7-LN_IF7</f>
        <v>4936.2069535780256</v>
      </c>
      <c r="E195" s="465">
        <f t="shared" si="20"/>
        <v>1476.113778033362</v>
      </c>
      <c r="F195" s="449">
        <f t="shared" si="21"/>
        <v>0.42661099084448861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436.32841949335943</v>
      </c>
      <c r="D196" s="465">
        <f>LN_IA7-LN_IF7</f>
        <v>3013.4657130334863</v>
      </c>
      <c r="E196" s="465">
        <f t="shared" si="20"/>
        <v>2577.1372935401268</v>
      </c>
      <c r="F196" s="449">
        <f t="shared" si="21"/>
        <v>5.9064163102934186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1412211.312369714</v>
      </c>
      <c r="D197" s="479">
        <f>LN_IF9*LN_IF6</f>
        <v>11772191.801164135</v>
      </c>
      <c r="E197" s="479">
        <f t="shared" si="20"/>
        <v>10359980.488794422</v>
      </c>
      <c r="F197" s="449">
        <f t="shared" si="21"/>
        <v>7.3359987970994247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14685</v>
      </c>
      <c r="D198" s="456">
        <f>LN_ID11+LN_IE11</f>
        <v>15884</v>
      </c>
      <c r="E198" s="456">
        <f t="shared" si="20"/>
        <v>1199</v>
      </c>
      <c r="F198" s="449">
        <f t="shared" si="21"/>
        <v>8.1647940074906361E-2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1491.5566905005107</v>
      </c>
      <c r="D199" s="519">
        <f>IF(LN_IF11=0,0,LN_IF2/LN_IF11)</f>
        <v>1302.0641526063964</v>
      </c>
      <c r="E199" s="519">
        <f t="shared" si="20"/>
        <v>-189.49253789411432</v>
      </c>
      <c r="F199" s="449">
        <f t="shared" si="21"/>
        <v>-0.12704347015501483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4.4178700361010828</v>
      </c>
      <c r="D200" s="466">
        <f>IF(LN_IF4=0,0,LN_IF11/LN_IF4)</f>
        <v>4.4343941931881634</v>
      </c>
      <c r="E200" s="466">
        <f t="shared" si="20"/>
        <v>1.652415708708066E-2</v>
      </c>
      <c r="F200" s="449">
        <f t="shared" si="21"/>
        <v>3.7402994999970116E-3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99862668</v>
      </c>
      <c r="D203" s="448">
        <f>LN_ID14+LN_IE14</f>
        <v>103742526</v>
      </c>
      <c r="E203" s="448">
        <f t="shared" ref="E203:E211" si="22">D203-C203</f>
        <v>3879858</v>
      </c>
      <c r="F203" s="449">
        <f t="shared" ref="F203:F211" si="23">IF(C203=0,0,E203/C203)</f>
        <v>3.8851936140941075E-2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17436349</v>
      </c>
      <c r="D204" s="448">
        <f>LN_ID15+LN_IE15</f>
        <v>18907742</v>
      </c>
      <c r="E204" s="448">
        <f t="shared" si="22"/>
        <v>1471393</v>
      </c>
      <c r="F204" s="449">
        <f t="shared" si="23"/>
        <v>8.4386530689423575E-2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0.17460327617123148</v>
      </c>
      <c r="D205" s="453">
        <f>IF(LN_IF14=0,0,LN_IF15/LN_IF14)</f>
        <v>0.18225642587495894</v>
      </c>
      <c r="E205" s="454">
        <f t="shared" si="22"/>
        <v>7.6531497037274632E-3</v>
      </c>
      <c r="F205" s="449">
        <f t="shared" si="23"/>
        <v>4.383165007867381E-2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0.95774691923221245</v>
      </c>
      <c r="D206" s="453">
        <f>IF(LN_IF1=0,0,LN_IF14/LN_IF1)</f>
        <v>0.91302071012166275</v>
      </c>
      <c r="E206" s="454">
        <f t="shared" si="22"/>
        <v>-4.4726209110549697E-2</v>
      </c>
      <c r="F206" s="449">
        <f t="shared" si="23"/>
        <v>-4.6699402746609636E-2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3183.5507595278741</v>
      </c>
      <c r="D207" s="463">
        <f>LN_ID18+LN_IE18</f>
        <v>3270.4401836557959</v>
      </c>
      <c r="E207" s="463">
        <f t="shared" si="22"/>
        <v>86.889424127921757</v>
      </c>
      <c r="F207" s="449">
        <f t="shared" si="23"/>
        <v>2.7293242888581305E-2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5477.013032638386</v>
      </c>
      <c r="D208" s="465">
        <f>IF(LN_IF18=0,0,LN_IF15/LN_IF18)</f>
        <v>5781.4058469842921</v>
      </c>
      <c r="E208" s="465">
        <f t="shared" si="22"/>
        <v>304.39281434590612</v>
      </c>
      <c r="F208" s="449">
        <f t="shared" si="23"/>
        <v>5.5576426883043963E-2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5337.5399394193573</v>
      </c>
      <c r="D209" s="465">
        <f>LN_IB18-LN_IF19</f>
        <v>3962.2664617820656</v>
      </c>
      <c r="E209" s="465">
        <f t="shared" si="22"/>
        <v>-1375.2734776372918</v>
      </c>
      <c r="F209" s="449">
        <f t="shared" si="23"/>
        <v>-0.25766055022473527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3320.3842592729579</v>
      </c>
      <c r="D210" s="465">
        <f>LN_IA16-LN_IF19</f>
        <v>3221.647312824015</v>
      </c>
      <c r="E210" s="465">
        <f t="shared" si="22"/>
        <v>-98.736946448942945</v>
      </c>
      <c r="F210" s="449">
        <f t="shared" si="23"/>
        <v>-2.9736602374618747E-2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10570611.830532823</v>
      </c>
      <c r="D211" s="441">
        <f>LN_IF21*LN_IF18</f>
        <v>10536204.829426372</v>
      </c>
      <c r="E211" s="441">
        <f t="shared" si="22"/>
        <v>-34407.001106450334</v>
      </c>
      <c r="F211" s="449">
        <f t="shared" si="23"/>
        <v>-3.2549677973290987E-3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204130994</v>
      </c>
      <c r="D214" s="448">
        <f>LN_IF1+LN_IF14</f>
        <v>217368126</v>
      </c>
      <c r="E214" s="448">
        <f>D214-C214</f>
        <v>13237132</v>
      </c>
      <c r="F214" s="449">
        <f>IF(C214=0,0,E214/C214)</f>
        <v>6.4846262395606619E-2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39339859</v>
      </c>
      <c r="D215" s="448">
        <f>LN_IF2+LN_IF15</f>
        <v>39589729</v>
      </c>
      <c r="E215" s="448">
        <f>D215-C215</f>
        <v>249870</v>
      </c>
      <c r="F215" s="449">
        <f>IF(C215=0,0,E215/C215)</f>
        <v>6.3515733495638606E-3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164791135</v>
      </c>
      <c r="D216" s="448">
        <f>LN_IF23-LN_IF24</f>
        <v>177778397</v>
      </c>
      <c r="E216" s="448">
        <f>D216-C216</f>
        <v>12987262</v>
      </c>
      <c r="F216" s="449">
        <f>IF(C216=0,0,E216/C216)</f>
        <v>7.8810440865038037E-2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880448</v>
      </c>
      <c r="D221" s="448">
        <v>569925</v>
      </c>
      <c r="E221" s="448">
        <f t="shared" ref="E221:E230" si="24">D221-C221</f>
        <v>-310523</v>
      </c>
      <c r="F221" s="449">
        <f t="shared" ref="F221:F230" si="25">IF(C221=0,0,E221/C221)</f>
        <v>-0.35268749545685835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126256</v>
      </c>
      <c r="D222" s="448">
        <v>256075</v>
      </c>
      <c r="E222" s="448">
        <f t="shared" si="24"/>
        <v>129819</v>
      </c>
      <c r="F222" s="449">
        <f t="shared" si="25"/>
        <v>1.0282204410087441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0.14339972377698626</v>
      </c>
      <c r="D223" s="453">
        <f>IF(LN_IG1=0,0,LN_IG2/LN_IG1)</f>
        <v>0.44931350616309162</v>
      </c>
      <c r="E223" s="454">
        <f t="shared" si="24"/>
        <v>0.30591378238610534</v>
      </c>
      <c r="F223" s="449">
        <f t="shared" si="25"/>
        <v>2.1332940840378414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22</v>
      </c>
      <c r="D224" s="456">
        <v>23</v>
      </c>
      <c r="E224" s="456">
        <f t="shared" si="24"/>
        <v>1</v>
      </c>
      <c r="F224" s="449">
        <f t="shared" si="25"/>
        <v>4.5454545454545456E-2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0.91200000000000003</v>
      </c>
      <c r="D225" s="459">
        <v>0.98250000000000004</v>
      </c>
      <c r="E225" s="460">
        <f t="shared" si="24"/>
        <v>7.0500000000000007E-2</v>
      </c>
      <c r="F225" s="449">
        <f t="shared" si="25"/>
        <v>7.7302631578947373E-2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20.064</v>
      </c>
      <c r="D226" s="463">
        <f>LN_IG3*LN_IG4</f>
        <v>22.5975</v>
      </c>
      <c r="E226" s="463">
        <f t="shared" si="24"/>
        <v>2.5335000000000001</v>
      </c>
      <c r="F226" s="449">
        <f t="shared" si="25"/>
        <v>0.12627093301435408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6292.6634768740032</v>
      </c>
      <c r="D227" s="465">
        <f>IF(LN_IG5=0,0,LN_IG2/LN_IG5)</f>
        <v>11332.005752848767</v>
      </c>
      <c r="E227" s="465">
        <f t="shared" si="24"/>
        <v>5039.3422759747637</v>
      </c>
      <c r="F227" s="449">
        <f t="shared" si="25"/>
        <v>0.80082818579043891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119</v>
      </c>
      <c r="D228" s="456">
        <v>65</v>
      </c>
      <c r="E228" s="456">
        <f t="shared" si="24"/>
        <v>-54</v>
      </c>
      <c r="F228" s="449">
        <f t="shared" si="25"/>
        <v>-0.45378151260504201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1060.9747899159663</v>
      </c>
      <c r="D229" s="465">
        <f>IF(LN_IG6=0,0,LN_IG2/LN_IG6)</f>
        <v>3939.6153846153848</v>
      </c>
      <c r="E229" s="465">
        <f t="shared" si="24"/>
        <v>2878.6405946994182</v>
      </c>
      <c r="F229" s="449">
        <f t="shared" si="25"/>
        <v>2.7132035766160087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5.4090909090909092</v>
      </c>
      <c r="D230" s="466">
        <f>IF(LN_IG3=0,0,LN_IG6/LN_IG3)</f>
        <v>2.8260869565217392</v>
      </c>
      <c r="E230" s="466">
        <f t="shared" si="24"/>
        <v>-2.5830039525691699</v>
      </c>
      <c r="F230" s="449">
        <f t="shared" si="25"/>
        <v>-0.47753014249177933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693299</v>
      </c>
      <c r="D233" s="448">
        <v>653514</v>
      </c>
      <c r="E233" s="448">
        <f>D233-C233</f>
        <v>-39785</v>
      </c>
      <c r="F233" s="449">
        <f>IF(C233=0,0,E233/C233)</f>
        <v>-5.7385053202153757E-2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128676</v>
      </c>
      <c r="D234" s="448">
        <v>218891</v>
      </c>
      <c r="E234" s="448">
        <f>D234-C234</f>
        <v>90215</v>
      </c>
      <c r="F234" s="449">
        <f>IF(C234=0,0,E234/C234)</f>
        <v>0.70110199260157291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1573747</v>
      </c>
      <c r="D237" s="448">
        <f>LN_IG1+LN_IG9</f>
        <v>1223439</v>
      </c>
      <c r="E237" s="448">
        <f>D237-C237</f>
        <v>-350308</v>
      </c>
      <c r="F237" s="449">
        <f>IF(C237=0,0,E237/C237)</f>
        <v>-0.22259486435875653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254932</v>
      </c>
      <c r="D238" s="448">
        <f>LN_IG2+LN_IG10</f>
        <v>474966</v>
      </c>
      <c r="E238" s="448">
        <f>D238-C238</f>
        <v>220034</v>
      </c>
      <c r="F238" s="449">
        <f>IF(C238=0,0,E238/C238)</f>
        <v>0.86310859366419279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1318815</v>
      </c>
      <c r="D239" s="448">
        <f>LN_IG13-LN_IG14</f>
        <v>748473</v>
      </c>
      <c r="E239" s="448">
        <f>D239-C239</f>
        <v>-570342</v>
      </c>
      <c r="F239" s="449">
        <f>IF(C239=0,0,E239/C239)</f>
        <v>-0.4324655088090445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6461805</v>
      </c>
      <c r="D243" s="448">
        <v>6874599</v>
      </c>
      <c r="E243" s="441">
        <f>D243-C243</f>
        <v>412794</v>
      </c>
      <c r="F243" s="503">
        <f>IF(C243=0,0,E243/C243)</f>
        <v>6.3882150575574476E-2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210952866</v>
      </c>
      <c r="D244" s="448">
        <v>233811154</v>
      </c>
      <c r="E244" s="441">
        <f>D244-C244</f>
        <v>22858288</v>
      </c>
      <c r="F244" s="503">
        <f>IF(C244=0,0,E244/C244)</f>
        <v>0.10835732376349891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4739178</v>
      </c>
      <c r="D248" s="441">
        <v>5849188</v>
      </c>
      <c r="E248" s="441">
        <f>D248-C248</f>
        <v>1110010</v>
      </c>
      <c r="F248" s="449">
        <f>IF(C248=0,0,E248/C248)</f>
        <v>0.23421994278332656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3747762</v>
      </c>
      <c r="D249" s="441">
        <v>5505105</v>
      </c>
      <c r="E249" s="441">
        <f>D249-C249</f>
        <v>1757343</v>
      </c>
      <c r="F249" s="449">
        <f>IF(C249=0,0,E249/C249)</f>
        <v>0.46890464229051898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8486940</v>
      </c>
      <c r="D250" s="441">
        <f>LN_IH4+LN_IH5</f>
        <v>11354293</v>
      </c>
      <c r="E250" s="441">
        <f>D250-C250</f>
        <v>2867353</v>
      </c>
      <c r="F250" s="449">
        <f>IF(C250=0,0,E250/C250)</f>
        <v>0.33785475094674877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1856214.2852657752</v>
      </c>
      <c r="D251" s="441">
        <f>LN_IH6*LN_III10</f>
        <v>2600537.0460264683</v>
      </c>
      <c r="E251" s="441">
        <f>D251-C251</f>
        <v>744322.76076069311</v>
      </c>
      <c r="F251" s="449">
        <f>IF(C251=0,0,E251/C251)</f>
        <v>0.40098967380488615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204130994</v>
      </c>
      <c r="D254" s="441">
        <f>LN_IF23</f>
        <v>217368126</v>
      </c>
      <c r="E254" s="441">
        <f>D254-C254</f>
        <v>13237132</v>
      </c>
      <c r="F254" s="449">
        <f>IF(C254=0,0,E254/C254)</f>
        <v>6.4846262395606619E-2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39339859</v>
      </c>
      <c r="D255" s="441">
        <f>LN_IF24</f>
        <v>39589729</v>
      </c>
      <c r="E255" s="441">
        <f>D255-C255</f>
        <v>249870</v>
      </c>
      <c r="F255" s="449">
        <f>IF(C255=0,0,E255/C255)</f>
        <v>6.3515733495638606E-3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44646346.872760057</v>
      </c>
      <c r="D256" s="441">
        <f>LN_IH8*LN_III10</f>
        <v>49785034.108979672</v>
      </c>
      <c r="E256" s="441">
        <f>D256-C256</f>
        <v>5138687.2362196147</v>
      </c>
      <c r="F256" s="449">
        <f>IF(C256=0,0,E256/C256)</f>
        <v>0.11509759691794329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5306487.8727600574</v>
      </c>
      <c r="D257" s="441">
        <f>LN_IH10-LN_IH9</f>
        <v>10195305.108979672</v>
      </c>
      <c r="E257" s="441">
        <f>D257-C257</f>
        <v>4888817.2362196147</v>
      </c>
      <c r="F257" s="449">
        <f>IF(C257=0,0,E257/C257)</f>
        <v>0.92129056985421887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505459581</v>
      </c>
      <c r="D261" s="448">
        <f>LN_IA1+LN_IB1+LN_IF1+LN_IG1</f>
        <v>506101735</v>
      </c>
      <c r="E261" s="448">
        <f t="shared" ref="E261:E274" si="26">D261-C261</f>
        <v>642154</v>
      </c>
      <c r="F261" s="503">
        <f t="shared" ref="F261:F274" si="27">IF(C261=0,0,E261/C261)</f>
        <v>1.2704359045476279E-3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116089850</v>
      </c>
      <c r="D262" s="448">
        <f>+LN_IA2+LN_IB2+LN_IF2+LN_IG2</f>
        <v>129713690</v>
      </c>
      <c r="E262" s="448">
        <f t="shared" si="26"/>
        <v>13623840</v>
      </c>
      <c r="F262" s="503">
        <f t="shared" si="27"/>
        <v>0.11735599623911996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0.2296718755836582</v>
      </c>
      <c r="D263" s="453">
        <f>IF(LN_IIA1=0,0,LN_IIA2/LN_IIA1)</f>
        <v>0.2562996350921421</v>
      </c>
      <c r="E263" s="454">
        <f t="shared" si="26"/>
        <v>2.6627759508483895E-2</v>
      </c>
      <c r="F263" s="458">
        <f t="shared" si="27"/>
        <v>0.11593826819594508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11646</v>
      </c>
      <c r="D264" s="456">
        <f>LN_IA4+LN_IB4+LN_IF4+LN_IG3</f>
        <v>11646</v>
      </c>
      <c r="E264" s="456">
        <f t="shared" si="26"/>
        <v>0</v>
      </c>
      <c r="F264" s="503">
        <f t="shared" si="27"/>
        <v>0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1.2694708311866736</v>
      </c>
      <c r="D265" s="525">
        <f>IF(LN_IIA4=0,0,LN_IIA6/LN_IIA4)</f>
        <v>1.3863037008414905</v>
      </c>
      <c r="E265" s="525">
        <f t="shared" si="26"/>
        <v>0.11683286965481687</v>
      </c>
      <c r="F265" s="503">
        <f t="shared" si="27"/>
        <v>9.2032732682486337E-2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14784.257299999999</v>
      </c>
      <c r="D266" s="463">
        <f>LN_IA6+LN_IB6+LN_IF6+LN_IG5</f>
        <v>16144.892899999999</v>
      </c>
      <c r="E266" s="463">
        <f t="shared" si="26"/>
        <v>1360.6355999999996</v>
      </c>
      <c r="F266" s="503">
        <f t="shared" si="27"/>
        <v>9.2032732682486504E-2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410798137</v>
      </c>
      <c r="D267" s="448">
        <f>LN_IA11+LN_IB13+LN_IF14+LN_IG9</f>
        <v>420651104</v>
      </c>
      <c r="E267" s="448">
        <f t="shared" si="26"/>
        <v>9852967</v>
      </c>
      <c r="F267" s="503">
        <f t="shared" si="27"/>
        <v>2.3984935939473359E-2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0.81272203048813119</v>
      </c>
      <c r="D268" s="453">
        <f>IF(LN_IIA1=0,0,LN_IIA7/LN_IIA1)</f>
        <v>0.83115918185895965</v>
      </c>
      <c r="E268" s="454">
        <f t="shared" si="26"/>
        <v>1.8437151370828464E-2</v>
      </c>
      <c r="F268" s="458">
        <f t="shared" si="27"/>
        <v>2.2685679333381521E-2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84308726</v>
      </c>
      <c r="D269" s="448">
        <f>LN_IA12+LN_IB14+LN_IF15+LN_IG10</f>
        <v>82545682</v>
      </c>
      <c r="E269" s="448">
        <f t="shared" si="26"/>
        <v>-1763044</v>
      </c>
      <c r="F269" s="503">
        <f t="shared" si="27"/>
        <v>-2.0911761850131622E-2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0.20523151983038326</v>
      </c>
      <c r="D270" s="453">
        <f>IF(LN_IIA7=0,0,LN_IIA9/LN_IIA7)</f>
        <v>0.1962331281555367</v>
      </c>
      <c r="E270" s="454">
        <f t="shared" si="26"/>
        <v>-8.998391674846562E-3</v>
      </c>
      <c r="F270" s="458">
        <f t="shared" si="27"/>
        <v>-4.3845076439931942E-2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916257718</v>
      </c>
      <c r="D271" s="441">
        <f>LN_IIA1+LN_IIA7</f>
        <v>926752839</v>
      </c>
      <c r="E271" s="441">
        <f t="shared" si="26"/>
        <v>10495121</v>
      </c>
      <c r="F271" s="503">
        <f t="shared" si="27"/>
        <v>1.1454332982764572E-2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200398576</v>
      </c>
      <c r="D272" s="441">
        <f>LN_IIA2+LN_IIA9</f>
        <v>212259372</v>
      </c>
      <c r="E272" s="441">
        <f t="shared" si="26"/>
        <v>11860796</v>
      </c>
      <c r="F272" s="503">
        <f t="shared" si="27"/>
        <v>5.918602934583727E-2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0.21871420241613726</v>
      </c>
      <c r="D273" s="453">
        <f>IF(LN_IIA11=0,0,LN_IIA12/LN_IIA11)</f>
        <v>0.22903557784515188</v>
      </c>
      <c r="E273" s="454">
        <f t="shared" si="26"/>
        <v>1.0321375429014623E-2</v>
      </c>
      <c r="F273" s="458">
        <f t="shared" si="27"/>
        <v>4.7191153180700288E-2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55390</v>
      </c>
      <c r="D274" s="508">
        <f>LN_IA8+LN_IB10+LN_IF11+LN_IG6</f>
        <v>52586</v>
      </c>
      <c r="E274" s="528">
        <f t="shared" si="26"/>
        <v>-2804</v>
      </c>
      <c r="F274" s="458">
        <f t="shared" si="27"/>
        <v>-5.0622856111211409E-2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383449647</v>
      </c>
      <c r="D277" s="448">
        <f>LN_IA1+LN_IF1+LN_IG1</f>
        <v>386686337</v>
      </c>
      <c r="E277" s="448">
        <f t="shared" ref="E277:E291" si="28">D277-C277</f>
        <v>3236690</v>
      </c>
      <c r="F277" s="503">
        <f t="shared" ref="F277:F291" si="29">IF(C277=0,0,E277/C277)</f>
        <v>8.4409779101974249E-3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78825074</v>
      </c>
      <c r="D278" s="448">
        <f>LN_IA2+LN_IF2+LN_IG2</f>
        <v>90920130</v>
      </c>
      <c r="E278" s="448">
        <f t="shared" si="28"/>
        <v>12095056</v>
      </c>
      <c r="F278" s="503">
        <f t="shared" si="29"/>
        <v>0.15344173352758286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0.20556825287675906</v>
      </c>
      <c r="D279" s="453">
        <f>IF(D277=0,0,LN_IIB2/D277)</f>
        <v>0.23512630600134185</v>
      </c>
      <c r="E279" s="454">
        <f t="shared" si="28"/>
        <v>2.9558053124582789E-2</v>
      </c>
      <c r="F279" s="458">
        <f t="shared" si="29"/>
        <v>0.14378705228527305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8749</v>
      </c>
      <c r="D280" s="456">
        <f>LN_IA4+LN_IF4+LN_IG3</f>
        <v>8893</v>
      </c>
      <c r="E280" s="456">
        <f t="shared" si="28"/>
        <v>144</v>
      </c>
      <c r="F280" s="503">
        <f t="shared" si="29"/>
        <v>1.6459023888444394E-2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1.2733684306777917</v>
      </c>
      <c r="D281" s="525">
        <f>IF(LN_IIB4=0,0,LN_IIB6/LN_IIB4)</f>
        <v>1.3890600134937592</v>
      </c>
      <c r="E281" s="525">
        <f t="shared" si="28"/>
        <v>0.11569158281596748</v>
      </c>
      <c r="F281" s="503">
        <f t="shared" si="29"/>
        <v>9.085475972919077E-2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11140.7004</v>
      </c>
      <c r="D282" s="463">
        <f>LN_IA6+LN_IF6+LN_IG5</f>
        <v>12352.9107</v>
      </c>
      <c r="E282" s="463">
        <f t="shared" si="28"/>
        <v>1212.2103000000006</v>
      </c>
      <c r="F282" s="503">
        <f t="shared" si="29"/>
        <v>0.10880916427839678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250818401</v>
      </c>
      <c r="D283" s="448">
        <f>LN_IA11+LN_IF14+LN_IG9</f>
        <v>257082494</v>
      </c>
      <c r="E283" s="448">
        <f t="shared" si="28"/>
        <v>6264093</v>
      </c>
      <c r="F283" s="503">
        <f t="shared" si="29"/>
        <v>2.4974615000436112E-2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0.65411039744678656</v>
      </c>
      <c r="D284" s="453">
        <f>IF(D277=0,0,LN_IIB7/D277)</f>
        <v>0.66483469779280047</v>
      </c>
      <c r="E284" s="454">
        <f t="shared" si="28"/>
        <v>1.0724300346013904E-2</v>
      </c>
      <c r="F284" s="458">
        <f t="shared" si="29"/>
        <v>1.6395245187776353E-2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43229065</v>
      </c>
      <c r="D285" s="448">
        <f>LN_IA12+LN_IF15+LN_IG10</f>
        <v>45803198</v>
      </c>
      <c r="E285" s="448">
        <f t="shared" si="28"/>
        <v>2574133</v>
      </c>
      <c r="F285" s="503">
        <f t="shared" si="29"/>
        <v>5.9546349198161007E-2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0.17235204764741324</v>
      </c>
      <c r="D286" s="453">
        <f>IF(LN_IIB7=0,0,LN_IIB9/LN_IIB7)</f>
        <v>0.17816537130684595</v>
      </c>
      <c r="E286" s="454">
        <f t="shared" si="28"/>
        <v>5.813323659432712E-3</v>
      </c>
      <c r="F286" s="458">
        <f t="shared" si="29"/>
        <v>3.3729356504804846E-2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634268048</v>
      </c>
      <c r="D287" s="441">
        <f>D277+LN_IIB7</f>
        <v>643768831</v>
      </c>
      <c r="E287" s="441">
        <f t="shared" si="28"/>
        <v>9500783</v>
      </c>
      <c r="F287" s="503">
        <f t="shared" si="29"/>
        <v>1.4979129139420247E-2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122054139</v>
      </c>
      <c r="D288" s="441">
        <f>LN_IIB2+LN_IIB9</f>
        <v>136723328</v>
      </c>
      <c r="E288" s="441">
        <f t="shared" si="28"/>
        <v>14669189</v>
      </c>
      <c r="F288" s="503">
        <f t="shared" si="29"/>
        <v>0.12018592011861229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0.1924330563156478</v>
      </c>
      <c r="D289" s="453">
        <f>IF(LN_IIB11=0,0,LN_IIB12/LN_IIB11)</f>
        <v>0.21237953969846671</v>
      </c>
      <c r="E289" s="454">
        <f t="shared" si="28"/>
        <v>1.9946483382818903E-2</v>
      </c>
      <c r="F289" s="458">
        <f t="shared" si="29"/>
        <v>0.10365414219738162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44094</v>
      </c>
      <c r="D290" s="508">
        <f>LN_IA8+LN_IF11+LN_IG6</f>
        <v>42515</v>
      </c>
      <c r="E290" s="528">
        <f t="shared" si="28"/>
        <v>-1579</v>
      </c>
      <c r="F290" s="458">
        <f t="shared" si="29"/>
        <v>-3.5809860752029757E-2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512213909</v>
      </c>
      <c r="D291" s="516">
        <f>LN_IIB11-LN_IIB12</f>
        <v>507045503</v>
      </c>
      <c r="E291" s="441">
        <f t="shared" si="28"/>
        <v>-5168406</v>
      </c>
      <c r="F291" s="503">
        <f t="shared" si="29"/>
        <v>-1.0090327320650717E-2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5.421062372755876</v>
      </c>
      <c r="D294" s="466">
        <f>IF(LN_IA4=0,0,LN_IA8/LN_IA4)</f>
        <v>5.0238275340393344</v>
      </c>
      <c r="E294" s="466">
        <f t="shared" ref="E294:E300" si="30">D294-C294</f>
        <v>-0.39723483871654164</v>
      </c>
      <c r="F294" s="503">
        <f t="shared" ref="F294:F300" si="31">IF(C294=0,0,E294/C294)</f>
        <v>-7.3276197800801454E-2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3.8992060752502589</v>
      </c>
      <c r="D295" s="466">
        <f>IF(LN_IB4=0,0,(LN_IB10)/(LN_IB4))</f>
        <v>3.6581910642934981</v>
      </c>
      <c r="E295" s="466">
        <f t="shared" si="30"/>
        <v>-0.24101501095676081</v>
      </c>
      <c r="F295" s="503">
        <f t="shared" si="31"/>
        <v>-6.1811303712972387E-2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3.108910891089109</v>
      </c>
      <c r="D296" s="466">
        <f>IF(LN_IC4=0,0,LN_IC11/LN_IC4)</f>
        <v>4.0808080808080804</v>
      </c>
      <c r="E296" s="466">
        <f t="shared" si="30"/>
        <v>0.97189718971897143</v>
      </c>
      <c r="F296" s="503">
        <f t="shared" si="31"/>
        <v>0.31261661197966917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4.4178700361010828</v>
      </c>
      <c r="D297" s="466">
        <f>IF(LN_ID4=0,0,LN_ID11/LN_ID4)</f>
        <v>4.4343941931881634</v>
      </c>
      <c r="E297" s="466">
        <f t="shared" si="30"/>
        <v>1.652415708708066E-2</v>
      </c>
      <c r="F297" s="503">
        <f t="shared" si="31"/>
        <v>3.7402994999970116E-3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5.4090909090909092</v>
      </c>
      <c r="D299" s="466">
        <f>IF(LN_IG3=0,0,LN_IG6/LN_IG3)</f>
        <v>2.8260869565217392</v>
      </c>
      <c r="E299" s="466">
        <f t="shared" si="30"/>
        <v>-2.5830039525691699</v>
      </c>
      <c r="F299" s="503">
        <f t="shared" si="31"/>
        <v>-0.47753014249177933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4.7561394470204359</v>
      </c>
      <c r="D300" s="466">
        <f>IF(LN_IIA4=0,0,LN_IIA14/LN_IIA4)</f>
        <v>4.5153700841490645</v>
      </c>
      <c r="E300" s="466">
        <f t="shared" si="30"/>
        <v>-0.24076936287137141</v>
      </c>
      <c r="F300" s="503">
        <f t="shared" si="31"/>
        <v>-5.0622856111211256E-2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916257718</v>
      </c>
      <c r="D304" s="441">
        <f>LN_IIA11</f>
        <v>926752839</v>
      </c>
      <c r="E304" s="441">
        <f t="shared" ref="E304:E316" si="32">D304-C304</f>
        <v>10495121</v>
      </c>
      <c r="F304" s="449">
        <f>IF(C304=0,0,E304/C304)</f>
        <v>1.1454332982764572E-2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512213909</v>
      </c>
      <c r="D305" s="441">
        <f>LN_IIB14</f>
        <v>507045503</v>
      </c>
      <c r="E305" s="441">
        <f t="shared" si="32"/>
        <v>-5168406</v>
      </c>
      <c r="F305" s="449">
        <f>IF(C305=0,0,E305/C305)</f>
        <v>-1.0090327320650717E-2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8486940</v>
      </c>
      <c r="D306" s="441">
        <f>LN_IH6</f>
        <v>11354293</v>
      </c>
      <c r="E306" s="441">
        <f t="shared" si="32"/>
        <v>2867353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187936329</v>
      </c>
      <c r="D307" s="441">
        <f>LN_IB32-LN_IB33</f>
        <v>189361903</v>
      </c>
      <c r="E307" s="441">
        <f t="shared" si="32"/>
        <v>1425574</v>
      </c>
      <c r="F307" s="449">
        <f t="shared" ref="F307:F316" si="33">IF(C307=0,0,E307/C307)</f>
        <v>7.5854094181013829E-3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7221967</v>
      </c>
      <c r="D308" s="441">
        <v>6731769</v>
      </c>
      <c r="E308" s="441">
        <f t="shared" si="32"/>
        <v>-490198</v>
      </c>
      <c r="F308" s="449">
        <f t="shared" si="33"/>
        <v>-6.7875967863048947E-2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715859145</v>
      </c>
      <c r="D309" s="441">
        <f>LN_III2+LN_III3+LN_III4+LN_III5</f>
        <v>714493468</v>
      </c>
      <c r="E309" s="441">
        <f t="shared" si="32"/>
        <v>-1365677</v>
      </c>
      <c r="F309" s="449">
        <f t="shared" si="33"/>
        <v>-1.9077454126817084E-3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200398573</v>
      </c>
      <c r="D310" s="441">
        <f>LN_III1-LN_III6</f>
        <v>212259371</v>
      </c>
      <c r="E310" s="441">
        <f t="shared" si="32"/>
        <v>11860798</v>
      </c>
      <c r="F310" s="449">
        <f t="shared" si="33"/>
        <v>5.9186040211972969E-2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200398573</v>
      </c>
      <c r="D312" s="441">
        <f>LN_III7+LN_III8</f>
        <v>212259371</v>
      </c>
      <c r="E312" s="441">
        <f t="shared" si="32"/>
        <v>11860798</v>
      </c>
      <c r="F312" s="449">
        <f t="shared" si="33"/>
        <v>5.9186040211972969E-2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0.21871419914194928</v>
      </c>
      <c r="D313" s="532">
        <f>IF(LN_III1=0,0,LN_III9/LN_III1)</f>
        <v>0.22903557676611552</v>
      </c>
      <c r="E313" s="532">
        <f t="shared" si="32"/>
        <v>1.0321377624166239E-2</v>
      </c>
      <c r="F313" s="449">
        <f t="shared" si="33"/>
        <v>4.7191163923781129E-2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1856214.2852657752</v>
      </c>
      <c r="D314" s="441">
        <f>D313*LN_III5</f>
        <v>2600537.0460264683</v>
      </c>
      <c r="E314" s="441">
        <f t="shared" si="32"/>
        <v>744322.76076069311</v>
      </c>
      <c r="F314" s="449">
        <f t="shared" si="33"/>
        <v>0.40098967380488615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5306487.8727600574</v>
      </c>
      <c r="D315" s="441">
        <f>D313*LN_IH8-LN_IH9</f>
        <v>10195305.108979672</v>
      </c>
      <c r="E315" s="441">
        <f t="shared" si="32"/>
        <v>4888817.2362196147</v>
      </c>
      <c r="F315" s="449">
        <f t="shared" si="33"/>
        <v>0.92129056985421887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7162702.1580258328</v>
      </c>
      <c r="D318" s="441">
        <f>D314+D315+D316</f>
        <v>12795842.15500614</v>
      </c>
      <c r="E318" s="441">
        <f>D318-C318</f>
        <v>5633139.9969803076</v>
      </c>
      <c r="F318" s="449">
        <f>IF(C318=0,0,E318/C318)</f>
        <v>0.78645459111661575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10570611.830532823</v>
      </c>
      <c r="D322" s="441">
        <f>LN_ID22</f>
        <v>10536204.829426372</v>
      </c>
      <c r="E322" s="441">
        <f>LN_IV2-C322</f>
        <v>-34407.001106450334</v>
      </c>
      <c r="F322" s="449">
        <f>IF(C322=0,0,E322/C322)</f>
        <v>-3.2549677973290987E-3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1177661.9574352568</v>
      </c>
      <c r="D324" s="441">
        <f>LN_IC10+LN_IC22</f>
        <v>-749292.82913115376</v>
      </c>
      <c r="E324" s="441">
        <f>LN_IV1-C324</f>
        <v>-1926954.7865664107</v>
      </c>
      <c r="F324" s="449">
        <f>IF(C324=0,0,E324/C324)</f>
        <v>-1.6362545927551091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11748273.78796808</v>
      </c>
      <c r="D325" s="516">
        <f>LN_IV1+LN_IV2+LN_IV3</f>
        <v>9786912.0002952181</v>
      </c>
      <c r="E325" s="441">
        <f>LN_IV4-C325</f>
        <v>-1961361.7876728624</v>
      </c>
      <c r="F325" s="449">
        <f>IF(C325=0,0,E325/C325)</f>
        <v>-0.16694893420696227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9775266</v>
      </c>
      <c r="D329" s="518">
        <v>9981864</v>
      </c>
      <c r="E329" s="518">
        <f t="shared" ref="E329:E335" si="34">D329-C329</f>
        <v>206598</v>
      </c>
      <c r="F329" s="542">
        <f t="shared" ref="F329:F335" si="35">IF(C329=0,0,E329/C329)</f>
        <v>2.113477014333932E-2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-7694690</v>
      </c>
      <c r="D330" s="516">
        <v>-5355371</v>
      </c>
      <c r="E330" s="518">
        <f t="shared" si="34"/>
        <v>2339319</v>
      </c>
      <c r="F330" s="543">
        <f t="shared" si="35"/>
        <v>-0.3040173158372852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192703886</v>
      </c>
      <c r="D331" s="516">
        <v>206904001</v>
      </c>
      <c r="E331" s="518">
        <f t="shared" si="34"/>
        <v>14200115</v>
      </c>
      <c r="F331" s="542">
        <f t="shared" si="35"/>
        <v>7.3688783836979813E-2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80287239</v>
      </c>
      <c r="D332" s="516">
        <v>84295514</v>
      </c>
      <c r="E332" s="518">
        <f t="shared" si="34"/>
        <v>4008275</v>
      </c>
      <c r="F332" s="543">
        <f t="shared" si="35"/>
        <v>4.992418533660125E-2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996544955</v>
      </c>
      <c r="D333" s="516">
        <v>1011048353</v>
      </c>
      <c r="E333" s="518">
        <f t="shared" si="34"/>
        <v>14503398</v>
      </c>
      <c r="F333" s="542">
        <f t="shared" si="35"/>
        <v>1.4553681624929806E-2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583860</v>
      </c>
      <c r="D334" s="516">
        <v>1023791</v>
      </c>
      <c r="E334" s="516">
        <f t="shared" si="34"/>
        <v>439931</v>
      </c>
      <c r="F334" s="543">
        <f t="shared" si="35"/>
        <v>0.75348713732744155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9070799</v>
      </c>
      <c r="D335" s="516">
        <v>12378085</v>
      </c>
      <c r="E335" s="516">
        <f t="shared" si="34"/>
        <v>3307286</v>
      </c>
      <c r="F335" s="542">
        <f t="shared" si="35"/>
        <v>0.36460801303170759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abSelected="1" zoomScale="75" zoomScaleSheetLayoutView="68" workbookViewId="0">
      <selection sqref="A1:F1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122009934</v>
      </c>
      <c r="D14" s="589">
        <v>119415398</v>
      </c>
      <c r="E14" s="590">
        <f t="shared" ref="E14:E22" si="0">D14-C14</f>
        <v>-2594536</v>
      </c>
    </row>
    <row r="15" spans="1:5" s="421" customFormat="1" x14ac:dyDescent="0.2">
      <c r="A15" s="588">
        <v>2</v>
      </c>
      <c r="B15" s="587" t="s">
        <v>635</v>
      </c>
      <c r="C15" s="589">
        <v>278300873</v>
      </c>
      <c r="D15" s="591">
        <v>272490812</v>
      </c>
      <c r="E15" s="590">
        <f t="shared" si="0"/>
        <v>-5810061</v>
      </c>
    </row>
    <row r="16" spans="1:5" s="421" customFormat="1" x14ac:dyDescent="0.2">
      <c r="A16" s="588">
        <v>3</v>
      </c>
      <c r="B16" s="587" t="s">
        <v>777</v>
      </c>
      <c r="C16" s="589">
        <v>104268326</v>
      </c>
      <c r="D16" s="591">
        <v>113625600</v>
      </c>
      <c r="E16" s="590">
        <f t="shared" si="0"/>
        <v>9357274</v>
      </c>
    </row>
    <row r="17" spans="1:5" s="421" customFormat="1" x14ac:dyDescent="0.2">
      <c r="A17" s="588">
        <v>4</v>
      </c>
      <c r="B17" s="587" t="s">
        <v>115</v>
      </c>
      <c r="C17" s="589">
        <v>104268326</v>
      </c>
      <c r="D17" s="591">
        <v>113625600</v>
      </c>
      <c r="E17" s="590">
        <f t="shared" si="0"/>
        <v>9357274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880448</v>
      </c>
      <c r="D19" s="591">
        <v>569925</v>
      </c>
      <c r="E19" s="590">
        <f t="shared" si="0"/>
        <v>-310523</v>
      </c>
    </row>
    <row r="20" spans="1:5" s="421" customFormat="1" x14ac:dyDescent="0.2">
      <c r="A20" s="588">
        <v>7</v>
      </c>
      <c r="B20" s="587" t="s">
        <v>758</v>
      </c>
      <c r="C20" s="589">
        <v>2869380</v>
      </c>
      <c r="D20" s="591">
        <v>3893002</v>
      </c>
      <c r="E20" s="590">
        <f t="shared" si="0"/>
        <v>1023622</v>
      </c>
    </row>
    <row r="21" spans="1:5" s="421" customFormat="1" x14ac:dyDescent="0.2">
      <c r="A21" s="588"/>
      <c r="B21" s="592" t="s">
        <v>778</v>
      </c>
      <c r="C21" s="593">
        <f>SUM(C15+C16+C19)</f>
        <v>383449647</v>
      </c>
      <c r="D21" s="593">
        <f>SUM(D15+D16+D19)</f>
        <v>386686337</v>
      </c>
      <c r="E21" s="593">
        <f t="shared" si="0"/>
        <v>3236690</v>
      </c>
    </row>
    <row r="22" spans="1:5" s="421" customFormat="1" x14ac:dyDescent="0.2">
      <c r="A22" s="588"/>
      <c r="B22" s="592" t="s">
        <v>465</v>
      </c>
      <c r="C22" s="593">
        <f>SUM(C14+C21)</f>
        <v>505459581</v>
      </c>
      <c r="D22" s="593">
        <f>SUM(D14+D21)</f>
        <v>506101735</v>
      </c>
      <c r="E22" s="593">
        <f t="shared" si="0"/>
        <v>642154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159979736</v>
      </c>
      <c r="D25" s="589">
        <v>163568610</v>
      </c>
      <c r="E25" s="590">
        <f t="shared" ref="E25:E33" si="1">D25-C25</f>
        <v>3588874</v>
      </c>
    </row>
    <row r="26" spans="1:5" s="421" customFormat="1" x14ac:dyDescent="0.2">
      <c r="A26" s="588">
        <v>2</v>
      </c>
      <c r="B26" s="587" t="s">
        <v>635</v>
      </c>
      <c r="C26" s="589">
        <v>150262434</v>
      </c>
      <c r="D26" s="591">
        <v>152686454</v>
      </c>
      <c r="E26" s="590">
        <f t="shared" si="1"/>
        <v>2424020</v>
      </c>
    </row>
    <row r="27" spans="1:5" s="421" customFormat="1" x14ac:dyDescent="0.2">
      <c r="A27" s="588">
        <v>3</v>
      </c>
      <c r="B27" s="587" t="s">
        <v>777</v>
      </c>
      <c r="C27" s="589">
        <v>99862668</v>
      </c>
      <c r="D27" s="591">
        <v>103742526</v>
      </c>
      <c r="E27" s="590">
        <f t="shared" si="1"/>
        <v>3879858</v>
      </c>
    </row>
    <row r="28" spans="1:5" s="421" customFormat="1" x14ac:dyDescent="0.2">
      <c r="A28" s="588">
        <v>4</v>
      </c>
      <c r="B28" s="587" t="s">
        <v>115</v>
      </c>
      <c r="C28" s="589">
        <v>99862668</v>
      </c>
      <c r="D28" s="591">
        <v>103742526</v>
      </c>
      <c r="E28" s="590">
        <f t="shared" si="1"/>
        <v>3879858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693299</v>
      </c>
      <c r="D30" s="591">
        <v>653514</v>
      </c>
      <c r="E30" s="590">
        <f t="shared" si="1"/>
        <v>-39785</v>
      </c>
    </row>
    <row r="31" spans="1:5" s="421" customFormat="1" x14ac:dyDescent="0.2">
      <c r="A31" s="588">
        <v>7</v>
      </c>
      <c r="B31" s="587" t="s">
        <v>758</v>
      </c>
      <c r="C31" s="590">
        <v>5932157</v>
      </c>
      <c r="D31" s="594">
        <v>7447832</v>
      </c>
      <c r="E31" s="590">
        <f t="shared" si="1"/>
        <v>1515675</v>
      </c>
    </row>
    <row r="32" spans="1:5" s="421" customFormat="1" x14ac:dyDescent="0.2">
      <c r="A32" s="588"/>
      <c r="B32" s="592" t="s">
        <v>780</v>
      </c>
      <c r="C32" s="593">
        <f>SUM(C26+C27+C30)</f>
        <v>250818401</v>
      </c>
      <c r="D32" s="593">
        <f>SUM(D26+D27+D30)</f>
        <v>257082494</v>
      </c>
      <c r="E32" s="593">
        <f t="shared" si="1"/>
        <v>6264093</v>
      </c>
    </row>
    <row r="33" spans="1:5" s="421" customFormat="1" x14ac:dyDescent="0.2">
      <c r="A33" s="588"/>
      <c r="B33" s="592" t="s">
        <v>467</v>
      </c>
      <c r="C33" s="593">
        <f>SUM(C25+C32)</f>
        <v>410798137</v>
      </c>
      <c r="D33" s="593">
        <f>SUM(D25+D32)</f>
        <v>420651104</v>
      </c>
      <c r="E33" s="593">
        <f t="shared" si="1"/>
        <v>9852967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281989670</v>
      </c>
      <c r="D36" s="590">
        <f t="shared" si="2"/>
        <v>282984008</v>
      </c>
      <c r="E36" s="590">
        <f t="shared" ref="E36:E44" si="3">D36-C36</f>
        <v>994338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428563307</v>
      </c>
      <c r="D37" s="590">
        <f t="shared" si="2"/>
        <v>425177266</v>
      </c>
      <c r="E37" s="590">
        <f t="shared" si="3"/>
        <v>-3386041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204130994</v>
      </c>
      <c r="D38" s="590">
        <f t="shared" si="2"/>
        <v>217368126</v>
      </c>
      <c r="E38" s="590">
        <f t="shared" si="3"/>
        <v>13237132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204130994</v>
      </c>
      <c r="D39" s="590">
        <f t="shared" si="2"/>
        <v>217368126</v>
      </c>
      <c r="E39" s="590">
        <f t="shared" si="3"/>
        <v>13237132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1573747</v>
      </c>
      <c r="D41" s="590">
        <f t="shared" si="2"/>
        <v>1223439</v>
      </c>
      <c r="E41" s="590">
        <f t="shared" si="3"/>
        <v>-350308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8801537</v>
      </c>
      <c r="D42" s="590">
        <f t="shared" si="2"/>
        <v>11340834</v>
      </c>
      <c r="E42" s="590">
        <f t="shared" si="3"/>
        <v>2539297</v>
      </c>
    </row>
    <row r="43" spans="1:5" s="421" customFormat="1" x14ac:dyDescent="0.2">
      <c r="A43" s="588"/>
      <c r="B43" s="592" t="s">
        <v>788</v>
      </c>
      <c r="C43" s="593">
        <f>SUM(C37+C38+C41)</f>
        <v>634268048</v>
      </c>
      <c r="D43" s="593">
        <f>SUM(D37+D38+D41)</f>
        <v>643768831</v>
      </c>
      <c r="E43" s="593">
        <f t="shared" si="3"/>
        <v>9500783</v>
      </c>
    </row>
    <row r="44" spans="1:5" s="421" customFormat="1" x14ac:dyDescent="0.2">
      <c r="A44" s="588"/>
      <c r="B44" s="592" t="s">
        <v>725</v>
      </c>
      <c r="C44" s="593">
        <f>SUM(C36+C43)</f>
        <v>916257718</v>
      </c>
      <c r="D44" s="593">
        <f>SUM(D36+D43)</f>
        <v>926752839</v>
      </c>
      <c r="E44" s="593">
        <f t="shared" si="3"/>
        <v>10495121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37264776</v>
      </c>
      <c r="D47" s="589">
        <v>38793560</v>
      </c>
      <c r="E47" s="590">
        <f t="shared" ref="E47:E55" si="4">D47-C47</f>
        <v>1528784</v>
      </c>
    </row>
    <row r="48" spans="1:5" s="421" customFormat="1" x14ac:dyDescent="0.2">
      <c r="A48" s="588">
        <v>2</v>
      </c>
      <c r="B48" s="587" t="s">
        <v>635</v>
      </c>
      <c r="C48" s="589">
        <v>56795308</v>
      </c>
      <c r="D48" s="591">
        <v>69982068</v>
      </c>
      <c r="E48" s="590">
        <f t="shared" si="4"/>
        <v>13186760</v>
      </c>
    </row>
    <row r="49" spans="1:5" s="421" customFormat="1" x14ac:dyDescent="0.2">
      <c r="A49" s="588">
        <v>3</v>
      </c>
      <c r="B49" s="587" t="s">
        <v>777</v>
      </c>
      <c r="C49" s="589">
        <v>21903510</v>
      </c>
      <c r="D49" s="591">
        <v>20681987</v>
      </c>
      <c r="E49" s="590">
        <f t="shared" si="4"/>
        <v>-1221523</v>
      </c>
    </row>
    <row r="50" spans="1:5" s="421" customFormat="1" x14ac:dyDescent="0.2">
      <c r="A50" s="588">
        <v>4</v>
      </c>
      <c r="B50" s="587" t="s">
        <v>115</v>
      </c>
      <c r="C50" s="589">
        <v>21903510</v>
      </c>
      <c r="D50" s="591">
        <v>20681987</v>
      </c>
      <c r="E50" s="590">
        <f t="shared" si="4"/>
        <v>-1221523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126256</v>
      </c>
      <c r="D52" s="591">
        <v>256075</v>
      </c>
      <c r="E52" s="590">
        <f t="shared" si="4"/>
        <v>129819</v>
      </c>
    </row>
    <row r="53" spans="1:5" s="421" customFormat="1" x14ac:dyDescent="0.2">
      <c r="A53" s="588">
        <v>7</v>
      </c>
      <c r="B53" s="587" t="s">
        <v>758</v>
      </c>
      <c r="C53" s="589">
        <v>179431</v>
      </c>
      <c r="D53" s="591">
        <v>204420</v>
      </c>
      <c r="E53" s="590">
        <f t="shared" si="4"/>
        <v>24989</v>
      </c>
    </row>
    <row r="54" spans="1:5" s="421" customFormat="1" x14ac:dyDescent="0.2">
      <c r="A54" s="588"/>
      <c r="B54" s="592" t="s">
        <v>790</v>
      </c>
      <c r="C54" s="593">
        <f>SUM(C48+C49+C52)</f>
        <v>78825074</v>
      </c>
      <c r="D54" s="593">
        <f>SUM(D48+D49+D52)</f>
        <v>90920130</v>
      </c>
      <c r="E54" s="593">
        <f t="shared" si="4"/>
        <v>12095056</v>
      </c>
    </row>
    <row r="55" spans="1:5" s="421" customFormat="1" x14ac:dyDescent="0.2">
      <c r="A55" s="588"/>
      <c r="B55" s="592" t="s">
        <v>466</v>
      </c>
      <c r="C55" s="593">
        <f>SUM(C47+C54)</f>
        <v>116089850</v>
      </c>
      <c r="D55" s="593">
        <f>SUM(D47+D54)</f>
        <v>129713690</v>
      </c>
      <c r="E55" s="593">
        <f t="shared" si="4"/>
        <v>13623840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41079661</v>
      </c>
      <c r="D58" s="589">
        <v>36742484</v>
      </c>
      <c r="E58" s="590">
        <f t="shared" ref="E58:E66" si="5">D58-C58</f>
        <v>-4337177</v>
      </c>
    </row>
    <row r="59" spans="1:5" s="421" customFormat="1" x14ac:dyDescent="0.2">
      <c r="A59" s="588">
        <v>2</v>
      </c>
      <c r="B59" s="587" t="s">
        <v>635</v>
      </c>
      <c r="C59" s="589">
        <v>25664040</v>
      </c>
      <c r="D59" s="591">
        <v>26676565</v>
      </c>
      <c r="E59" s="590">
        <f t="shared" si="5"/>
        <v>1012525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17436349</v>
      </c>
      <c r="D60" s="591">
        <f>D61+D62</f>
        <v>18907742</v>
      </c>
      <c r="E60" s="590">
        <f t="shared" si="5"/>
        <v>1471393</v>
      </c>
    </row>
    <row r="61" spans="1:5" s="421" customFormat="1" x14ac:dyDescent="0.2">
      <c r="A61" s="588">
        <v>4</v>
      </c>
      <c r="B61" s="587" t="s">
        <v>115</v>
      </c>
      <c r="C61" s="589">
        <v>17436349</v>
      </c>
      <c r="D61" s="591">
        <v>18907742</v>
      </c>
      <c r="E61" s="590">
        <f t="shared" si="5"/>
        <v>1471393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128676</v>
      </c>
      <c r="D63" s="591">
        <v>218891</v>
      </c>
      <c r="E63" s="590">
        <f t="shared" si="5"/>
        <v>90215</v>
      </c>
    </row>
    <row r="64" spans="1:5" s="421" customFormat="1" x14ac:dyDescent="0.2">
      <c r="A64" s="588">
        <v>7</v>
      </c>
      <c r="B64" s="587" t="s">
        <v>758</v>
      </c>
      <c r="C64" s="589">
        <v>1216331</v>
      </c>
      <c r="D64" s="591">
        <v>3228369</v>
      </c>
      <c r="E64" s="590">
        <f t="shared" si="5"/>
        <v>2012038</v>
      </c>
    </row>
    <row r="65" spans="1:5" s="421" customFormat="1" x14ac:dyDescent="0.2">
      <c r="A65" s="588"/>
      <c r="B65" s="592" t="s">
        <v>792</v>
      </c>
      <c r="C65" s="593">
        <f>SUM(C59+C60+C63)</f>
        <v>43229065</v>
      </c>
      <c r="D65" s="593">
        <f>SUM(D59+D60+D63)</f>
        <v>45803198</v>
      </c>
      <c r="E65" s="593">
        <f t="shared" si="5"/>
        <v>2574133</v>
      </c>
    </row>
    <row r="66" spans="1:5" s="421" customFormat="1" x14ac:dyDescent="0.2">
      <c r="A66" s="588"/>
      <c r="B66" s="592" t="s">
        <v>468</v>
      </c>
      <c r="C66" s="593">
        <f>SUM(C58+C65)</f>
        <v>84308726</v>
      </c>
      <c r="D66" s="593">
        <f>SUM(D58+D65)</f>
        <v>82545682</v>
      </c>
      <c r="E66" s="593">
        <f t="shared" si="5"/>
        <v>-1763044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78344437</v>
      </c>
      <c r="D69" s="590">
        <f t="shared" si="6"/>
        <v>75536044</v>
      </c>
      <c r="E69" s="590">
        <f t="shared" ref="E69:E77" si="7">D69-C69</f>
        <v>-2808393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82459348</v>
      </c>
      <c r="D70" s="590">
        <f t="shared" si="6"/>
        <v>96658633</v>
      </c>
      <c r="E70" s="590">
        <f t="shared" si="7"/>
        <v>14199285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39339859</v>
      </c>
      <c r="D71" s="590">
        <f t="shared" si="6"/>
        <v>39589729</v>
      </c>
      <c r="E71" s="590">
        <f t="shared" si="7"/>
        <v>249870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39339859</v>
      </c>
      <c r="D72" s="590">
        <f t="shared" si="6"/>
        <v>39589729</v>
      </c>
      <c r="E72" s="590">
        <f t="shared" si="7"/>
        <v>249870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254932</v>
      </c>
      <c r="D74" s="590">
        <f t="shared" si="6"/>
        <v>474966</v>
      </c>
      <c r="E74" s="590">
        <f t="shared" si="7"/>
        <v>220034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1395762</v>
      </c>
      <c r="D75" s="590">
        <f t="shared" si="6"/>
        <v>3432789</v>
      </c>
      <c r="E75" s="590">
        <f t="shared" si="7"/>
        <v>2037027</v>
      </c>
    </row>
    <row r="76" spans="1:5" s="421" customFormat="1" x14ac:dyDescent="0.2">
      <c r="A76" s="588"/>
      <c r="B76" s="592" t="s">
        <v>793</v>
      </c>
      <c r="C76" s="593">
        <f>SUM(C70+C71+C74)</f>
        <v>122054139</v>
      </c>
      <c r="D76" s="593">
        <f>SUM(D70+D71+D74)</f>
        <v>136723328</v>
      </c>
      <c r="E76" s="593">
        <f t="shared" si="7"/>
        <v>14669189</v>
      </c>
    </row>
    <row r="77" spans="1:5" s="421" customFormat="1" x14ac:dyDescent="0.2">
      <c r="A77" s="588"/>
      <c r="B77" s="592" t="s">
        <v>726</v>
      </c>
      <c r="C77" s="593">
        <f>SUM(C69+C76)</f>
        <v>200398576</v>
      </c>
      <c r="D77" s="593">
        <f>SUM(D69+D76)</f>
        <v>212259372</v>
      </c>
      <c r="E77" s="593">
        <f t="shared" si="7"/>
        <v>11860796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0.1331611528100656</v>
      </c>
      <c r="D83" s="599">
        <f t="shared" si="8"/>
        <v>0.12885355509550264</v>
      </c>
      <c r="E83" s="599">
        <f t="shared" ref="E83:E91" si="9">D83-C83</f>
        <v>-4.3075977145629607E-3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0.30373645703904456</v>
      </c>
      <c r="D84" s="599">
        <f t="shared" si="8"/>
        <v>0.29402749096946657</v>
      </c>
      <c r="E84" s="599">
        <f t="shared" si="9"/>
        <v>-9.7089660695779956E-3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0.11379803296783798</v>
      </c>
      <c r="D85" s="599">
        <f t="shared" si="8"/>
        <v>0.12260615259901027</v>
      </c>
      <c r="E85" s="599">
        <f t="shared" si="9"/>
        <v>8.8081196311722842E-3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0.11379803296783798</v>
      </c>
      <c r="D86" s="599">
        <f t="shared" si="8"/>
        <v>0.12260615259901027</v>
      </c>
      <c r="E86" s="599">
        <f t="shared" si="9"/>
        <v>8.8081196311722842E-3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9.60917417341744E-4</v>
      </c>
      <c r="D88" s="599">
        <f t="shared" si="8"/>
        <v>6.1496979131455353E-4</v>
      </c>
      <c r="E88" s="599">
        <f t="shared" si="9"/>
        <v>-3.4594762602719047E-4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3.1316298281920721E-3</v>
      </c>
      <c r="D89" s="599">
        <f t="shared" si="8"/>
        <v>4.2006906654860543E-3</v>
      </c>
      <c r="E89" s="599">
        <f t="shared" si="9"/>
        <v>1.0690608372939821E-3</v>
      </c>
    </row>
    <row r="90" spans="1:5" s="421" customFormat="1" x14ac:dyDescent="0.2">
      <c r="A90" s="588"/>
      <c r="B90" s="592" t="s">
        <v>796</v>
      </c>
      <c r="C90" s="600">
        <f>SUM(C84+C85+C88)</f>
        <v>0.41849540742422425</v>
      </c>
      <c r="D90" s="600">
        <f>SUM(D84+D85+D88)</f>
        <v>0.41724861335979135</v>
      </c>
      <c r="E90" s="601">
        <f t="shared" si="9"/>
        <v>-1.246794064432899E-3</v>
      </c>
    </row>
    <row r="91" spans="1:5" s="421" customFormat="1" x14ac:dyDescent="0.2">
      <c r="A91" s="588"/>
      <c r="B91" s="592" t="s">
        <v>797</v>
      </c>
      <c r="C91" s="600">
        <f>SUM(C83+C90)</f>
        <v>0.55165656023428988</v>
      </c>
      <c r="D91" s="600">
        <f>SUM(D83+D90)</f>
        <v>0.54610216845529402</v>
      </c>
      <c r="E91" s="601">
        <f t="shared" si="9"/>
        <v>-5.5543917789958597E-3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0.17460124248579589</v>
      </c>
      <c r="D95" s="599">
        <f t="shared" si="10"/>
        <v>0.176496475777184</v>
      </c>
      <c r="E95" s="599">
        <f t="shared" ref="E95:E103" si="11">D95-C95</f>
        <v>1.8952332913881043E-3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0.16399581804122931</v>
      </c>
      <c r="D96" s="599">
        <f t="shared" si="10"/>
        <v>0.1647542338955813</v>
      </c>
      <c r="E96" s="599">
        <f t="shared" si="11"/>
        <v>7.5841585435199033E-4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0.10898971548963259</v>
      </c>
      <c r="D97" s="599">
        <f t="shared" si="10"/>
        <v>0.1119419565112333</v>
      </c>
      <c r="E97" s="599">
        <f t="shared" si="11"/>
        <v>2.9522410216007156E-3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0.10898971548963259</v>
      </c>
      <c r="D98" s="599">
        <f t="shared" si="10"/>
        <v>0.1119419565112333</v>
      </c>
      <c r="E98" s="599">
        <f t="shared" si="11"/>
        <v>2.9522410216007156E-3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7.5666374905231635E-4</v>
      </c>
      <c r="D100" s="599">
        <f t="shared" si="10"/>
        <v>7.0516536070735472E-4</v>
      </c>
      <c r="E100" s="599">
        <f t="shared" si="11"/>
        <v>-5.149838834496163E-5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6.4743323668243306E-3</v>
      </c>
      <c r="D101" s="599">
        <f t="shared" si="10"/>
        <v>8.0364814506923773E-3</v>
      </c>
      <c r="E101" s="599">
        <f t="shared" si="11"/>
        <v>1.5621490838680467E-3</v>
      </c>
    </row>
    <row r="102" spans="1:5" s="421" customFormat="1" x14ac:dyDescent="0.2">
      <c r="A102" s="588"/>
      <c r="B102" s="592" t="s">
        <v>799</v>
      </c>
      <c r="C102" s="600">
        <f>SUM(C96+C97+C100)</f>
        <v>0.27374219727991422</v>
      </c>
      <c r="D102" s="600">
        <f>SUM(D96+D97+D100)</f>
        <v>0.27740135576752195</v>
      </c>
      <c r="E102" s="601">
        <f t="shared" si="11"/>
        <v>3.6591584876077277E-3</v>
      </c>
    </row>
    <row r="103" spans="1:5" s="421" customFormat="1" x14ac:dyDescent="0.2">
      <c r="A103" s="588"/>
      <c r="B103" s="592" t="s">
        <v>800</v>
      </c>
      <c r="C103" s="600">
        <f>SUM(C95+C102)</f>
        <v>0.44834343976571012</v>
      </c>
      <c r="D103" s="600">
        <f>SUM(D95+D102)</f>
        <v>0.45389783154470598</v>
      </c>
      <c r="E103" s="601">
        <f t="shared" si="11"/>
        <v>5.5543917789958597E-3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0.18595329739269206</v>
      </c>
      <c r="D109" s="599">
        <f t="shared" si="12"/>
        <v>0.18276488634857546</v>
      </c>
      <c r="E109" s="599">
        <f t="shared" ref="E109:E117" si="13">D109-C109</f>
        <v>-3.1884110441166014E-3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0.28341173442270368</v>
      </c>
      <c r="D110" s="599">
        <f t="shared" si="12"/>
        <v>0.32970072105932735</v>
      </c>
      <c r="E110" s="599">
        <f t="shared" si="13"/>
        <v>4.6288986636623675E-2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0.10929972875655564</v>
      </c>
      <c r="D111" s="599">
        <f t="shared" si="12"/>
        <v>9.743733247265049E-2</v>
      </c>
      <c r="E111" s="599">
        <f t="shared" si="13"/>
        <v>-1.1862396283905147E-2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0.10929972875655564</v>
      </c>
      <c r="D112" s="599">
        <f t="shared" si="12"/>
        <v>9.743733247265049E-2</v>
      </c>
      <c r="E112" s="599">
        <f t="shared" si="13"/>
        <v>-1.1862396283905147E-2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6.3002443690019037E-4</v>
      </c>
      <c r="D114" s="599">
        <f t="shared" si="12"/>
        <v>1.2064249393897199E-3</v>
      </c>
      <c r="E114" s="599">
        <f t="shared" si="13"/>
        <v>5.764005024895295E-4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8.9537063377136974E-4</v>
      </c>
      <c r="D115" s="599">
        <f t="shared" si="12"/>
        <v>9.6306701595253938E-4</v>
      </c>
      <c r="E115" s="599">
        <f t="shared" si="13"/>
        <v>6.7696382181169643E-5</v>
      </c>
    </row>
    <row r="116" spans="1:5" s="421" customFormat="1" x14ac:dyDescent="0.2">
      <c r="A116" s="588"/>
      <c r="B116" s="592" t="s">
        <v>796</v>
      </c>
      <c r="C116" s="600">
        <f>SUM(C110+C111+C114)</f>
        <v>0.3933414876161595</v>
      </c>
      <c r="D116" s="600">
        <f>SUM(D110+D111+D114)</f>
        <v>0.42834447847136758</v>
      </c>
      <c r="E116" s="601">
        <f t="shared" si="13"/>
        <v>3.5002990855208083E-2</v>
      </c>
    </row>
    <row r="117" spans="1:5" s="421" customFormat="1" x14ac:dyDescent="0.2">
      <c r="A117" s="588"/>
      <c r="B117" s="592" t="s">
        <v>797</v>
      </c>
      <c r="C117" s="600">
        <f>SUM(C109+C116)</f>
        <v>0.57929478500885156</v>
      </c>
      <c r="D117" s="600">
        <f>SUM(D109+D116)</f>
        <v>0.61110936481994305</v>
      </c>
      <c r="E117" s="601">
        <f t="shared" si="13"/>
        <v>3.1814579811091481E-2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0.20498978495735418</v>
      </c>
      <c r="D121" s="599">
        <f t="shared" si="14"/>
        <v>0.17310182185971981</v>
      </c>
      <c r="E121" s="599">
        <f t="shared" ref="E121:E129" si="15">D121-C121</f>
        <v>-3.1887963097634364E-2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0.12806498185895293</v>
      </c>
      <c r="D122" s="599">
        <f t="shared" si="14"/>
        <v>0.12567909133359728</v>
      </c>
      <c r="E122" s="599">
        <f t="shared" si="15"/>
        <v>-2.3858905253556495E-3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8.7008347803828712E-2</v>
      </c>
      <c r="D123" s="599">
        <f t="shared" si="14"/>
        <v>8.9078478946974363E-2</v>
      </c>
      <c r="E123" s="599">
        <f t="shared" si="15"/>
        <v>2.0701311431456509E-3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8.7008347803828712E-2</v>
      </c>
      <c r="D124" s="599">
        <f t="shared" si="14"/>
        <v>8.9078478946974363E-2</v>
      </c>
      <c r="E124" s="599">
        <f t="shared" si="15"/>
        <v>2.0701311431456509E-3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6.421003710126164E-4</v>
      </c>
      <c r="D126" s="599">
        <f t="shared" si="14"/>
        <v>1.0312430397655186E-3</v>
      </c>
      <c r="E126" s="599">
        <f t="shared" si="15"/>
        <v>3.8914266875290221E-4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6.0695590970666381E-3</v>
      </c>
      <c r="D127" s="599">
        <f t="shared" si="14"/>
        <v>1.5209547496446941E-2</v>
      </c>
      <c r="E127" s="599">
        <f t="shared" si="15"/>
        <v>9.1399883993803031E-3</v>
      </c>
    </row>
    <row r="128" spans="1:5" s="421" customFormat="1" x14ac:dyDescent="0.2">
      <c r="A128" s="588"/>
      <c r="B128" s="592" t="s">
        <v>799</v>
      </c>
      <c r="C128" s="600">
        <f>SUM(C122+C123+C126)</f>
        <v>0.21571543003379426</v>
      </c>
      <c r="D128" s="600">
        <f>SUM(D122+D123+D126)</f>
        <v>0.21578881332033714</v>
      </c>
      <c r="E128" s="601">
        <f t="shared" si="15"/>
        <v>7.3383286542882953E-5</v>
      </c>
    </row>
    <row r="129" spans="1:5" s="421" customFormat="1" x14ac:dyDescent="0.2">
      <c r="A129" s="588"/>
      <c r="B129" s="592" t="s">
        <v>800</v>
      </c>
      <c r="C129" s="600">
        <f>SUM(C121+C128)</f>
        <v>0.42070521499114844</v>
      </c>
      <c r="D129" s="600">
        <f>SUM(D121+D128)</f>
        <v>0.38889063518005695</v>
      </c>
      <c r="E129" s="601">
        <f t="shared" si="15"/>
        <v>-3.1814579811091481E-2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2897</v>
      </c>
      <c r="D137" s="606">
        <v>2753</v>
      </c>
      <c r="E137" s="607">
        <f t="shared" ref="E137:E145" si="16">D137-C137</f>
        <v>-144</v>
      </c>
    </row>
    <row r="138" spans="1:5" s="421" customFormat="1" x14ac:dyDescent="0.2">
      <c r="A138" s="588">
        <v>2</v>
      </c>
      <c r="B138" s="587" t="s">
        <v>635</v>
      </c>
      <c r="C138" s="606">
        <v>5403</v>
      </c>
      <c r="D138" s="606">
        <v>5288</v>
      </c>
      <c r="E138" s="607">
        <f t="shared" si="16"/>
        <v>-115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3324</v>
      </c>
      <c r="D139" s="606">
        <f>D140+D141</f>
        <v>3582</v>
      </c>
      <c r="E139" s="607">
        <f t="shared" si="16"/>
        <v>258</v>
      </c>
    </row>
    <row r="140" spans="1:5" s="421" customFormat="1" x14ac:dyDescent="0.2">
      <c r="A140" s="588">
        <v>4</v>
      </c>
      <c r="B140" s="587" t="s">
        <v>115</v>
      </c>
      <c r="C140" s="606">
        <v>3324</v>
      </c>
      <c r="D140" s="606">
        <v>3582</v>
      </c>
      <c r="E140" s="607">
        <f t="shared" si="16"/>
        <v>258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22</v>
      </c>
      <c r="D142" s="606">
        <v>23</v>
      </c>
      <c r="E142" s="607">
        <f t="shared" si="16"/>
        <v>1</v>
      </c>
    </row>
    <row r="143" spans="1:5" s="421" customFormat="1" x14ac:dyDescent="0.2">
      <c r="A143" s="588">
        <v>7</v>
      </c>
      <c r="B143" s="587" t="s">
        <v>758</v>
      </c>
      <c r="C143" s="606">
        <v>101</v>
      </c>
      <c r="D143" s="606">
        <v>99</v>
      </c>
      <c r="E143" s="607">
        <f t="shared" si="16"/>
        <v>-2</v>
      </c>
    </row>
    <row r="144" spans="1:5" s="421" customFormat="1" x14ac:dyDescent="0.2">
      <c r="A144" s="588"/>
      <c r="B144" s="592" t="s">
        <v>807</v>
      </c>
      <c r="C144" s="608">
        <f>SUM(C138+C139+C142)</f>
        <v>8749</v>
      </c>
      <c r="D144" s="608">
        <f>SUM(D138+D139+D142)</f>
        <v>8893</v>
      </c>
      <c r="E144" s="609">
        <f t="shared" si="16"/>
        <v>144</v>
      </c>
    </row>
    <row r="145" spans="1:5" s="421" customFormat="1" x14ac:dyDescent="0.2">
      <c r="A145" s="588"/>
      <c r="B145" s="592" t="s">
        <v>138</v>
      </c>
      <c r="C145" s="608">
        <f>SUM(C137+C144)</f>
        <v>11646</v>
      </c>
      <c r="D145" s="608">
        <f>SUM(D137+D144)</f>
        <v>11646</v>
      </c>
      <c r="E145" s="609">
        <f t="shared" si="16"/>
        <v>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11296</v>
      </c>
      <c r="D149" s="610">
        <v>10071</v>
      </c>
      <c r="E149" s="607">
        <f t="shared" ref="E149:E157" si="17">D149-C149</f>
        <v>-1225</v>
      </c>
    </row>
    <row r="150" spans="1:5" s="421" customFormat="1" x14ac:dyDescent="0.2">
      <c r="A150" s="588">
        <v>2</v>
      </c>
      <c r="B150" s="587" t="s">
        <v>635</v>
      </c>
      <c r="C150" s="610">
        <v>29290</v>
      </c>
      <c r="D150" s="610">
        <v>26566</v>
      </c>
      <c r="E150" s="607">
        <f t="shared" si="17"/>
        <v>-2724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14685</v>
      </c>
      <c r="D151" s="610">
        <f>D152+D153</f>
        <v>15884</v>
      </c>
      <c r="E151" s="607">
        <f t="shared" si="17"/>
        <v>1199</v>
      </c>
    </row>
    <row r="152" spans="1:5" s="421" customFormat="1" x14ac:dyDescent="0.2">
      <c r="A152" s="588">
        <v>4</v>
      </c>
      <c r="B152" s="587" t="s">
        <v>115</v>
      </c>
      <c r="C152" s="610">
        <v>14685</v>
      </c>
      <c r="D152" s="610">
        <v>15884</v>
      </c>
      <c r="E152" s="607">
        <f t="shared" si="17"/>
        <v>1199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119</v>
      </c>
      <c r="D154" s="610">
        <v>65</v>
      </c>
      <c r="E154" s="607">
        <f t="shared" si="17"/>
        <v>-54</v>
      </c>
    </row>
    <row r="155" spans="1:5" s="421" customFormat="1" x14ac:dyDescent="0.2">
      <c r="A155" s="588">
        <v>7</v>
      </c>
      <c r="B155" s="587" t="s">
        <v>758</v>
      </c>
      <c r="C155" s="610">
        <v>314</v>
      </c>
      <c r="D155" s="610">
        <v>404</v>
      </c>
      <c r="E155" s="607">
        <f t="shared" si="17"/>
        <v>90</v>
      </c>
    </row>
    <row r="156" spans="1:5" s="421" customFormat="1" x14ac:dyDescent="0.2">
      <c r="A156" s="588"/>
      <c r="B156" s="592" t="s">
        <v>808</v>
      </c>
      <c r="C156" s="608">
        <f>SUM(C150+C151+C154)</f>
        <v>44094</v>
      </c>
      <c r="D156" s="608">
        <f>SUM(D150+D151+D154)</f>
        <v>42515</v>
      </c>
      <c r="E156" s="609">
        <f t="shared" si="17"/>
        <v>-1579</v>
      </c>
    </row>
    <row r="157" spans="1:5" s="421" customFormat="1" x14ac:dyDescent="0.2">
      <c r="A157" s="588"/>
      <c r="B157" s="592" t="s">
        <v>140</v>
      </c>
      <c r="C157" s="608">
        <f>SUM(C149+C156)</f>
        <v>55390</v>
      </c>
      <c r="D157" s="608">
        <f>SUM(D149+D156)</f>
        <v>52586</v>
      </c>
      <c r="E157" s="609">
        <f t="shared" si="17"/>
        <v>-2804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3.8992060752502589</v>
      </c>
      <c r="D161" s="612">
        <f t="shared" si="18"/>
        <v>3.6581910642934981</v>
      </c>
      <c r="E161" s="613">
        <f t="shared" ref="E161:E169" si="19">D161-C161</f>
        <v>-0.24101501095676081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5.421062372755876</v>
      </c>
      <c r="D162" s="612">
        <f t="shared" si="18"/>
        <v>5.0238275340393344</v>
      </c>
      <c r="E162" s="613">
        <f t="shared" si="19"/>
        <v>-0.39723483871654164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4.4178700361010828</v>
      </c>
      <c r="D163" s="612">
        <f t="shared" si="18"/>
        <v>4.4343941931881634</v>
      </c>
      <c r="E163" s="613">
        <f t="shared" si="19"/>
        <v>1.652415708708066E-2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4.4178700361010828</v>
      </c>
      <c r="D164" s="612">
        <f t="shared" si="18"/>
        <v>4.4343941931881634</v>
      </c>
      <c r="E164" s="613">
        <f t="shared" si="19"/>
        <v>1.652415708708066E-2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5.4090909090909092</v>
      </c>
      <c r="D166" s="612">
        <f t="shared" si="18"/>
        <v>2.8260869565217392</v>
      </c>
      <c r="E166" s="613">
        <f t="shared" si="19"/>
        <v>-2.5830039525691699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3.108910891089109</v>
      </c>
      <c r="D167" s="612">
        <f t="shared" si="18"/>
        <v>4.0808080808080804</v>
      </c>
      <c r="E167" s="613">
        <f t="shared" si="19"/>
        <v>0.97189718971897143</v>
      </c>
    </row>
    <row r="168" spans="1:5" s="421" customFormat="1" x14ac:dyDescent="0.2">
      <c r="A168" s="588"/>
      <c r="B168" s="592" t="s">
        <v>810</v>
      </c>
      <c r="C168" s="614">
        <f t="shared" si="18"/>
        <v>5.0398902731740769</v>
      </c>
      <c r="D168" s="614">
        <f t="shared" si="18"/>
        <v>4.7807264140335093</v>
      </c>
      <c r="E168" s="615">
        <f t="shared" si="19"/>
        <v>-0.25916385914056761</v>
      </c>
    </row>
    <row r="169" spans="1:5" s="421" customFormat="1" x14ac:dyDescent="0.2">
      <c r="A169" s="588"/>
      <c r="B169" s="592" t="s">
        <v>744</v>
      </c>
      <c r="C169" s="614">
        <f t="shared" si="18"/>
        <v>4.7561394470204359</v>
      </c>
      <c r="D169" s="614">
        <f t="shared" si="18"/>
        <v>4.5153700841490645</v>
      </c>
      <c r="E169" s="615">
        <f t="shared" si="19"/>
        <v>-0.24076936287137141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1.2577</v>
      </c>
      <c r="D173" s="617">
        <f t="shared" si="20"/>
        <v>1.3774</v>
      </c>
      <c r="E173" s="618">
        <f t="shared" ref="E173:E181" si="21">D173-C173</f>
        <v>0.11969999999999992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1.4592000000000001</v>
      </c>
      <c r="D174" s="617">
        <f t="shared" si="20"/>
        <v>1.593</v>
      </c>
      <c r="E174" s="618">
        <f t="shared" si="21"/>
        <v>0.13379999999999992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0.97370000000000012</v>
      </c>
      <c r="D175" s="617">
        <f t="shared" si="20"/>
        <v>1.0906</v>
      </c>
      <c r="E175" s="618">
        <f t="shared" si="21"/>
        <v>0.11689999999999989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0.97370000000000012</v>
      </c>
      <c r="D176" s="617">
        <f t="shared" si="20"/>
        <v>1.0906</v>
      </c>
      <c r="E176" s="618">
        <f t="shared" si="21"/>
        <v>0.11689999999999989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0.91200000000000003</v>
      </c>
      <c r="D178" s="617">
        <f t="shared" si="20"/>
        <v>0.98250000000000004</v>
      </c>
      <c r="E178" s="618">
        <f t="shared" si="21"/>
        <v>7.0500000000000007E-2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1.0122</v>
      </c>
      <c r="D179" s="617">
        <f t="shared" si="20"/>
        <v>1.1895</v>
      </c>
      <c r="E179" s="618">
        <f t="shared" si="21"/>
        <v>0.17730000000000001</v>
      </c>
    </row>
    <row r="180" spans="1:5" s="421" customFormat="1" x14ac:dyDescent="0.2">
      <c r="A180" s="588"/>
      <c r="B180" s="592" t="s">
        <v>812</v>
      </c>
      <c r="C180" s="619">
        <f t="shared" si="20"/>
        <v>1.2733684306777917</v>
      </c>
      <c r="D180" s="619">
        <f t="shared" si="20"/>
        <v>1.3890600134937592</v>
      </c>
      <c r="E180" s="620">
        <f t="shared" si="21"/>
        <v>0.11569158281596748</v>
      </c>
    </row>
    <row r="181" spans="1:5" s="421" customFormat="1" x14ac:dyDescent="0.2">
      <c r="A181" s="588"/>
      <c r="B181" s="592" t="s">
        <v>723</v>
      </c>
      <c r="C181" s="619">
        <f t="shared" si="20"/>
        <v>1.2694708311866736</v>
      </c>
      <c r="D181" s="619">
        <f t="shared" si="20"/>
        <v>1.3863037008414907</v>
      </c>
      <c r="E181" s="620">
        <f t="shared" si="21"/>
        <v>0.1168328696548171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263412870</v>
      </c>
      <c r="D185" s="589">
        <v>261694975</v>
      </c>
      <c r="E185" s="590">
        <f>D185-C185</f>
        <v>-1717895</v>
      </c>
    </row>
    <row r="186" spans="1:5" s="421" customFormat="1" ht="25.5" x14ac:dyDescent="0.2">
      <c r="A186" s="588">
        <v>2</v>
      </c>
      <c r="B186" s="587" t="s">
        <v>815</v>
      </c>
      <c r="C186" s="589">
        <v>75476541</v>
      </c>
      <c r="D186" s="589">
        <v>72333072</v>
      </c>
      <c r="E186" s="590">
        <f>D186-C186</f>
        <v>-3143469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187936329</v>
      </c>
      <c r="D188" s="622">
        <f>+D185-D186</f>
        <v>189361903</v>
      </c>
      <c r="E188" s="590">
        <f t="shared" ref="E188:E197" si="22">D188-C188</f>
        <v>1425574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0.71346676796771547</v>
      </c>
      <c r="D189" s="623">
        <f>IF(D185=0,0,+D188/D185)</f>
        <v>0.72359778020193166</v>
      </c>
      <c r="E189" s="599">
        <f t="shared" si="22"/>
        <v>1.0131012234216197E-2</v>
      </c>
    </row>
    <row r="190" spans="1:5" s="421" customFormat="1" x14ac:dyDescent="0.2">
      <c r="A190" s="588">
        <v>5</v>
      </c>
      <c r="B190" s="587" t="s">
        <v>762</v>
      </c>
      <c r="C190" s="589">
        <v>9775266</v>
      </c>
      <c r="D190" s="589">
        <v>9981864</v>
      </c>
      <c r="E190" s="622">
        <f t="shared" si="22"/>
        <v>206598</v>
      </c>
    </row>
    <row r="191" spans="1:5" s="421" customFormat="1" x14ac:dyDescent="0.2">
      <c r="A191" s="588">
        <v>6</v>
      </c>
      <c r="B191" s="587" t="s">
        <v>748</v>
      </c>
      <c r="C191" s="589">
        <v>7221967</v>
      </c>
      <c r="D191" s="589">
        <v>6731769</v>
      </c>
      <c r="E191" s="622">
        <f t="shared" si="22"/>
        <v>-490198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4739178</v>
      </c>
      <c r="D193" s="589">
        <v>5849188</v>
      </c>
      <c r="E193" s="622">
        <f t="shared" si="22"/>
        <v>1110010</v>
      </c>
    </row>
    <row r="194" spans="1:5" s="421" customFormat="1" x14ac:dyDescent="0.2">
      <c r="A194" s="588">
        <v>9</v>
      </c>
      <c r="B194" s="587" t="s">
        <v>818</v>
      </c>
      <c r="C194" s="589">
        <v>3747762</v>
      </c>
      <c r="D194" s="589">
        <v>5505105</v>
      </c>
      <c r="E194" s="622">
        <f t="shared" si="22"/>
        <v>1757343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8486940</v>
      </c>
      <c r="D195" s="589">
        <f>+D193+D194</f>
        <v>11354293</v>
      </c>
      <c r="E195" s="625">
        <f t="shared" si="22"/>
        <v>2867353</v>
      </c>
    </row>
    <row r="196" spans="1:5" s="421" customFormat="1" x14ac:dyDescent="0.2">
      <c r="A196" s="588">
        <v>11</v>
      </c>
      <c r="B196" s="587" t="s">
        <v>820</v>
      </c>
      <c r="C196" s="589">
        <v>6461805</v>
      </c>
      <c r="D196" s="589">
        <v>6874599</v>
      </c>
      <c r="E196" s="622">
        <f t="shared" si="22"/>
        <v>412794</v>
      </c>
    </row>
    <row r="197" spans="1:5" s="421" customFormat="1" x14ac:dyDescent="0.2">
      <c r="A197" s="588">
        <v>12</v>
      </c>
      <c r="B197" s="587" t="s">
        <v>710</v>
      </c>
      <c r="C197" s="589">
        <v>210952866</v>
      </c>
      <c r="D197" s="589">
        <v>233811154</v>
      </c>
      <c r="E197" s="622">
        <f t="shared" si="22"/>
        <v>22858288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3643.5569</v>
      </c>
      <c r="D203" s="629">
        <v>3791.9821999999999</v>
      </c>
      <c r="E203" s="630">
        <f t="shared" ref="E203:E211" si="23">D203-C203</f>
        <v>148.42529999999988</v>
      </c>
    </row>
    <row r="204" spans="1:5" s="421" customFormat="1" x14ac:dyDescent="0.2">
      <c r="A204" s="588">
        <v>2</v>
      </c>
      <c r="B204" s="587" t="s">
        <v>635</v>
      </c>
      <c r="C204" s="629">
        <v>7884.0576000000001</v>
      </c>
      <c r="D204" s="629">
        <v>8423.7839999999997</v>
      </c>
      <c r="E204" s="630">
        <f t="shared" si="23"/>
        <v>539.72639999999956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3236.5788000000002</v>
      </c>
      <c r="D205" s="629">
        <f>D206+D207</f>
        <v>3906.5291999999999</v>
      </c>
      <c r="E205" s="630">
        <f t="shared" si="23"/>
        <v>669.95039999999972</v>
      </c>
    </row>
    <row r="206" spans="1:5" s="421" customFormat="1" x14ac:dyDescent="0.2">
      <c r="A206" s="588">
        <v>4</v>
      </c>
      <c r="B206" s="587" t="s">
        <v>115</v>
      </c>
      <c r="C206" s="629">
        <v>3236.5788000000002</v>
      </c>
      <c r="D206" s="629">
        <v>3906.5291999999999</v>
      </c>
      <c r="E206" s="630">
        <f t="shared" si="23"/>
        <v>669.95039999999972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20.064</v>
      </c>
      <c r="D208" s="629">
        <v>22.5975</v>
      </c>
      <c r="E208" s="630">
        <f t="shared" si="23"/>
        <v>2.5335000000000001</v>
      </c>
    </row>
    <row r="209" spans="1:5" s="421" customFormat="1" x14ac:dyDescent="0.2">
      <c r="A209" s="588">
        <v>7</v>
      </c>
      <c r="B209" s="587" t="s">
        <v>758</v>
      </c>
      <c r="C209" s="629">
        <v>102.23220000000001</v>
      </c>
      <c r="D209" s="629">
        <v>117.76049999999999</v>
      </c>
      <c r="E209" s="630">
        <f t="shared" si="23"/>
        <v>15.528299999999987</v>
      </c>
    </row>
    <row r="210" spans="1:5" s="421" customFormat="1" x14ac:dyDescent="0.2">
      <c r="A210" s="588"/>
      <c r="B210" s="592" t="s">
        <v>823</v>
      </c>
      <c r="C210" s="631">
        <f>C204+C205+C208</f>
        <v>11140.7004</v>
      </c>
      <c r="D210" s="631">
        <f>D204+D205+D208</f>
        <v>12352.9107</v>
      </c>
      <c r="E210" s="632">
        <f t="shared" si="23"/>
        <v>1212.2103000000006</v>
      </c>
    </row>
    <row r="211" spans="1:5" s="421" customFormat="1" x14ac:dyDescent="0.2">
      <c r="A211" s="588"/>
      <c r="B211" s="592" t="s">
        <v>724</v>
      </c>
      <c r="C211" s="631">
        <f>C210+C203</f>
        <v>14784.257299999999</v>
      </c>
      <c r="D211" s="631">
        <f>D210+D203</f>
        <v>16144.892900000001</v>
      </c>
      <c r="E211" s="632">
        <f t="shared" si="23"/>
        <v>1360.6356000000014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3798.5537734329073</v>
      </c>
      <c r="D215" s="633">
        <f>IF(D14*D137=0,0,D25/D14*D137)</f>
        <v>3770.9071934760041</v>
      </c>
      <c r="E215" s="633">
        <f t="shared" ref="E215:E223" si="24">D215-C215</f>
        <v>-27.646579956903224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2917.2309887148645</v>
      </c>
      <c r="D216" s="633">
        <f>IF(D15*D138=0,0,D26/D15*D138)</f>
        <v>2963.0575901839948</v>
      </c>
      <c r="E216" s="633">
        <f t="shared" si="24"/>
        <v>45.82660146913031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3183.5507595278741</v>
      </c>
      <c r="D217" s="633">
        <f>D218+D219</f>
        <v>3270.4401836557959</v>
      </c>
      <c r="E217" s="633">
        <f t="shared" si="24"/>
        <v>86.889424127921757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3183.5507595278741</v>
      </c>
      <c r="D218" s="633">
        <f t="shared" si="25"/>
        <v>3270.4401836557959</v>
      </c>
      <c r="E218" s="633">
        <f t="shared" si="24"/>
        <v>86.889424127921757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17.32365568437886</v>
      </c>
      <c r="D220" s="633">
        <f t="shared" si="25"/>
        <v>26.373333333333335</v>
      </c>
      <c r="E220" s="633">
        <f t="shared" si="24"/>
        <v>9.049677648954475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208.80742773700243</v>
      </c>
      <c r="D221" s="633">
        <f t="shared" si="25"/>
        <v>189.40020272273171</v>
      </c>
      <c r="E221" s="633">
        <f t="shared" si="24"/>
        <v>-19.407225014270722</v>
      </c>
    </row>
    <row r="222" spans="1:5" s="421" customFormat="1" x14ac:dyDescent="0.2">
      <c r="A222" s="588"/>
      <c r="B222" s="592" t="s">
        <v>825</v>
      </c>
      <c r="C222" s="634">
        <f>C216+C218+C219+C220</f>
        <v>6118.1054039271166</v>
      </c>
      <c r="D222" s="634">
        <f>D216+D218+D219+D220</f>
        <v>6259.8711071731232</v>
      </c>
      <c r="E222" s="634">
        <f t="shared" si="24"/>
        <v>141.76570324600652</v>
      </c>
    </row>
    <row r="223" spans="1:5" s="421" customFormat="1" x14ac:dyDescent="0.2">
      <c r="A223" s="588"/>
      <c r="B223" s="592" t="s">
        <v>826</v>
      </c>
      <c r="C223" s="634">
        <f>C215+C222</f>
        <v>9916.659177360023</v>
      </c>
      <c r="D223" s="634">
        <f>D215+D222</f>
        <v>10030.778300649126</v>
      </c>
      <c r="E223" s="634">
        <f t="shared" si="24"/>
        <v>114.1191232891033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10227.581734760339</v>
      </c>
      <c r="D227" s="636">
        <f t="shared" si="26"/>
        <v>10230.417220840331</v>
      </c>
      <c r="E227" s="636">
        <f t="shared" ref="E227:E235" si="27">D227-C227</f>
        <v>2.8354860799918242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7203.8169787090346</v>
      </c>
      <c r="D228" s="636">
        <f t="shared" si="26"/>
        <v>8307.6759802957913</v>
      </c>
      <c r="E228" s="636">
        <f t="shared" si="27"/>
        <v>1103.8590015867567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6767.4885592156752</v>
      </c>
      <c r="D229" s="636">
        <f t="shared" si="26"/>
        <v>5294.210267262305</v>
      </c>
      <c r="E229" s="636">
        <f t="shared" si="27"/>
        <v>-1473.2782919533702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6767.4885592156752</v>
      </c>
      <c r="D230" s="636">
        <f t="shared" si="26"/>
        <v>5294.210267262305</v>
      </c>
      <c r="E230" s="636">
        <f t="shared" si="27"/>
        <v>-1473.2782919533702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6292.6634768740032</v>
      </c>
      <c r="D232" s="636">
        <f t="shared" si="26"/>
        <v>11332.005752848767</v>
      </c>
      <c r="E232" s="636">
        <f t="shared" si="27"/>
        <v>5039.3422759747637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1755.1319447297426</v>
      </c>
      <c r="D233" s="636">
        <f t="shared" si="26"/>
        <v>1735.8961621256703</v>
      </c>
      <c r="E233" s="636">
        <f t="shared" si="27"/>
        <v>-19.235782604072256</v>
      </c>
    </row>
    <row r="234" spans="1:5" x14ac:dyDescent="0.2">
      <c r="A234" s="588"/>
      <c r="B234" s="592" t="s">
        <v>828</v>
      </c>
      <c r="C234" s="637">
        <f t="shared" si="26"/>
        <v>7075.414576268472</v>
      </c>
      <c r="D234" s="637">
        <f t="shared" si="26"/>
        <v>7360.2191587121242</v>
      </c>
      <c r="E234" s="637">
        <f t="shared" si="27"/>
        <v>284.80458244365218</v>
      </c>
    </row>
    <row r="235" spans="1:5" s="421" customFormat="1" x14ac:dyDescent="0.2">
      <c r="A235" s="588"/>
      <c r="B235" s="592" t="s">
        <v>829</v>
      </c>
      <c r="C235" s="637">
        <f t="shared" si="26"/>
        <v>7852.2612021910636</v>
      </c>
      <c r="D235" s="637">
        <f t="shared" si="26"/>
        <v>8034.3481250346349</v>
      </c>
      <c r="E235" s="637">
        <f t="shared" si="27"/>
        <v>182.0869228435713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10814.552972057743</v>
      </c>
      <c r="D239" s="636">
        <f t="shared" si="28"/>
        <v>9743.6723087663577</v>
      </c>
      <c r="E239" s="638">
        <f t="shared" ref="E239:E247" si="29">D239-C239</f>
        <v>-1070.8806632913856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8797.3972919113439</v>
      </c>
      <c r="D240" s="636">
        <f t="shared" si="28"/>
        <v>9003.0531598083071</v>
      </c>
      <c r="E240" s="638">
        <f t="shared" si="29"/>
        <v>205.65586789696317</v>
      </c>
    </row>
    <row r="241" spans="1:5" x14ac:dyDescent="0.2">
      <c r="A241" s="588">
        <v>3</v>
      </c>
      <c r="B241" s="587" t="s">
        <v>777</v>
      </c>
      <c r="C241" s="636">
        <f t="shared" si="28"/>
        <v>5477.013032638386</v>
      </c>
      <c r="D241" s="636">
        <f t="shared" si="28"/>
        <v>5781.4058469842921</v>
      </c>
      <c r="E241" s="638">
        <f t="shared" si="29"/>
        <v>304.39281434590612</v>
      </c>
    </row>
    <row r="242" spans="1:5" x14ac:dyDescent="0.2">
      <c r="A242" s="588">
        <v>4</v>
      </c>
      <c r="B242" s="587" t="s">
        <v>115</v>
      </c>
      <c r="C242" s="636">
        <f t="shared" si="28"/>
        <v>5477.013032638386</v>
      </c>
      <c r="D242" s="636">
        <f t="shared" si="28"/>
        <v>5781.4058469842921</v>
      </c>
      <c r="E242" s="638">
        <f t="shared" si="29"/>
        <v>304.39281434590612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7427.7624968054588</v>
      </c>
      <c r="D244" s="636">
        <f t="shared" si="28"/>
        <v>8299.7093023255802</v>
      </c>
      <c r="E244" s="638">
        <f t="shared" si="29"/>
        <v>871.94680552012142</v>
      </c>
    </row>
    <row r="245" spans="1:5" x14ac:dyDescent="0.2">
      <c r="A245" s="588">
        <v>7</v>
      </c>
      <c r="B245" s="587" t="s">
        <v>758</v>
      </c>
      <c r="C245" s="636">
        <f t="shared" si="28"/>
        <v>5825.1328182252009</v>
      </c>
      <c r="D245" s="636">
        <f t="shared" si="28"/>
        <v>17045.224628012147</v>
      </c>
      <c r="E245" s="638">
        <f t="shared" si="29"/>
        <v>11220.091809786947</v>
      </c>
    </row>
    <row r="246" spans="1:5" ht="25.5" x14ac:dyDescent="0.2">
      <c r="A246" s="588"/>
      <c r="B246" s="592" t="s">
        <v>831</v>
      </c>
      <c r="C246" s="637">
        <f t="shared" si="28"/>
        <v>7065.7600917192331</v>
      </c>
      <c r="D246" s="637">
        <f t="shared" si="28"/>
        <v>7316.9554477750471</v>
      </c>
      <c r="E246" s="639">
        <f t="shared" si="29"/>
        <v>251.19535605581405</v>
      </c>
    </row>
    <row r="247" spans="1:5" x14ac:dyDescent="0.2">
      <c r="A247" s="588"/>
      <c r="B247" s="592" t="s">
        <v>832</v>
      </c>
      <c r="C247" s="637">
        <f t="shared" si="28"/>
        <v>8501.7266896172951</v>
      </c>
      <c r="D247" s="637">
        <f t="shared" si="28"/>
        <v>8229.2399977236255</v>
      </c>
      <c r="E247" s="639">
        <f t="shared" si="29"/>
        <v>-272.48669189366956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10570611.830532823</v>
      </c>
      <c r="D251" s="622">
        <f>((IF((IF(D15=0,0,D26/D15)*D138)=0,0,D59/(IF(D15=0,0,D26/D15)*D138)))-(IF((IF(D17=0,0,D28/D17)*D140)=0,0,D61/(IF(D17=0,0,D28/D17)*D140))))*(IF(D17=0,0,D28/D17)*D140)</f>
        <v>10536204.829426372</v>
      </c>
      <c r="E251" s="622">
        <f>D251-C251</f>
        <v>-34407.001106450334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1177661.9574352568</v>
      </c>
      <c r="D253" s="622">
        <f>IF(D233=0,0,(D228-D233)*D209+IF(D221=0,0,(D240-D245)*D221))</f>
        <v>-749292.82913115376</v>
      </c>
      <c r="E253" s="622">
        <f>D253-C253</f>
        <v>-1926954.7865664107</v>
      </c>
    </row>
    <row r="254" spans="1:5" ht="15" customHeight="1" x14ac:dyDescent="0.2">
      <c r="A254" s="588"/>
      <c r="B254" s="592" t="s">
        <v>759</v>
      </c>
      <c r="C254" s="640">
        <f>+C251+C252+C253</f>
        <v>11748273.78796808</v>
      </c>
      <c r="D254" s="640">
        <f>+D251+D252+D253</f>
        <v>9786912.0002952181</v>
      </c>
      <c r="E254" s="640">
        <f>D254-C254</f>
        <v>-1961361.7876728624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916257718</v>
      </c>
      <c r="D258" s="625">
        <f>+D44</f>
        <v>926752839</v>
      </c>
      <c r="E258" s="622">
        <f t="shared" ref="E258:E271" si="30">D258-C258</f>
        <v>10495121</v>
      </c>
    </row>
    <row r="259" spans="1:5" x14ac:dyDescent="0.2">
      <c r="A259" s="588">
        <v>2</v>
      </c>
      <c r="B259" s="587" t="s">
        <v>742</v>
      </c>
      <c r="C259" s="622">
        <f>+(C43-C76)</f>
        <v>512213909</v>
      </c>
      <c r="D259" s="625">
        <f>+(D43-D76)</f>
        <v>507045503</v>
      </c>
      <c r="E259" s="622">
        <f t="shared" si="30"/>
        <v>-5168406</v>
      </c>
    </row>
    <row r="260" spans="1:5" x14ac:dyDescent="0.2">
      <c r="A260" s="588">
        <v>3</v>
      </c>
      <c r="B260" s="587" t="s">
        <v>746</v>
      </c>
      <c r="C260" s="622">
        <f>C195</f>
        <v>8486940</v>
      </c>
      <c r="D260" s="622">
        <f>D195</f>
        <v>11354293</v>
      </c>
      <c r="E260" s="622">
        <f t="shared" si="30"/>
        <v>2867353</v>
      </c>
    </row>
    <row r="261" spans="1:5" x14ac:dyDescent="0.2">
      <c r="A261" s="588">
        <v>4</v>
      </c>
      <c r="B261" s="587" t="s">
        <v>747</v>
      </c>
      <c r="C261" s="622">
        <f>C188</f>
        <v>187936329</v>
      </c>
      <c r="D261" s="622">
        <f>D188</f>
        <v>189361903</v>
      </c>
      <c r="E261" s="622">
        <f t="shared" si="30"/>
        <v>1425574</v>
      </c>
    </row>
    <row r="262" spans="1:5" x14ac:dyDescent="0.2">
      <c r="A262" s="588">
        <v>5</v>
      </c>
      <c r="B262" s="587" t="s">
        <v>748</v>
      </c>
      <c r="C262" s="622">
        <f>C191</f>
        <v>7221967</v>
      </c>
      <c r="D262" s="622">
        <f>D191</f>
        <v>6731769</v>
      </c>
      <c r="E262" s="622">
        <f t="shared" si="30"/>
        <v>-490198</v>
      </c>
    </row>
    <row r="263" spans="1:5" x14ac:dyDescent="0.2">
      <c r="A263" s="588">
        <v>6</v>
      </c>
      <c r="B263" s="587" t="s">
        <v>749</v>
      </c>
      <c r="C263" s="622">
        <f>+C259+C260+C261+C262</f>
        <v>715859145</v>
      </c>
      <c r="D263" s="622">
        <f>+D259+D260+D261+D262</f>
        <v>714493468</v>
      </c>
      <c r="E263" s="622">
        <f t="shared" si="30"/>
        <v>-1365677</v>
      </c>
    </row>
    <row r="264" spans="1:5" x14ac:dyDescent="0.2">
      <c r="A264" s="588">
        <v>7</v>
      </c>
      <c r="B264" s="587" t="s">
        <v>654</v>
      </c>
      <c r="C264" s="622">
        <f>+C258-C263</f>
        <v>200398573</v>
      </c>
      <c r="D264" s="622">
        <f>+D258-D263</f>
        <v>212259371</v>
      </c>
      <c r="E264" s="622">
        <f t="shared" si="30"/>
        <v>11860798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200398573</v>
      </c>
      <c r="D266" s="622">
        <f>+D264+D265</f>
        <v>212259371</v>
      </c>
      <c r="E266" s="641">
        <f t="shared" si="30"/>
        <v>11860798</v>
      </c>
    </row>
    <row r="267" spans="1:5" x14ac:dyDescent="0.2">
      <c r="A267" s="588">
        <v>10</v>
      </c>
      <c r="B267" s="587" t="s">
        <v>837</v>
      </c>
      <c r="C267" s="642">
        <f>IF(C258=0,0,C266/C258)</f>
        <v>0.21871419914194928</v>
      </c>
      <c r="D267" s="642">
        <f>IF(D258=0,0,D266/D258)</f>
        <v>0.22903557676611552</v>
      </c>
      <c r="E267" s="643">
        <f t="shared" si="30"/>
        <v>1.0321377624166239E-2</v>
      </c>
    </row>
    <row r="268" spans="1:5" x14ac:dyDescent="0.2">
      <c r="A268" s="588">
        <v>11</v>
      </c>
      <c r="B268" s="587" t="s">
        <v>716</v>
      </c>
      <c r="C268" s="622">
        <f>+C260*C267</f>
        <v>1856214.2852657752</v>
      </c>
      <c r="D268" s="644">
        <f>+D260*D267</f>
        <v>2600537.0460264683</v>
      </c>
      <c r="E268" s="622">
        <f t="shared" si="30"/>
        <v>744322.76076069311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5306487.8727600574</v>
      </c>
      <c r="D269" s="644">
        <f>((D17+D18+D28+D29)*D267)-(D50+D51+D61+D62)</f>
        <v>10195305.108979672</v>
      </c>
      <c r="E269" s="622">
        <f t="shared" si="30"/>
        <v>4888817.2362196147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7162702.1580258328</v>
      </c>
      <c r="D271" s="622">
        <f>+D268+D269+D270</f>
        <v>12795842.15500614</v>
      </c>
      <c r="E271" s="625">
        <f t="shared" si="30"/>
        <v>5633139.9969803076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0.30542411407254755</v>
      </c>
      <c r="D276" s="623">
        <f t="shared" si="31"/>
        <v>0.32486229288454072</v>
      </c>
      <c r="E276" s="650">
        <f t="shared" ref="E276:E284" si="32">D276-C276</f>
        <v>1.9438178811993168E-2</v>
      </c>
    </row>
    <row r="277" spans="1:5" x14ac:dyDescent="0.2">
      <c r="A277" s="588">
        <v>2</v>
      </c>
      <c r="B277" s="587" t="s">
        <v>635</v>
      </c>
      <c r="C277" s="623">
        <f t="shared" si="31"/>
        <v>0.20407879927850603</v>
      </c>
      <c r="D277" s="623">
        <f t="shared" si="31"/>
        <v>0.2568235878720197</v>
      </c>
      <c r="E277" s="650">
        <f t="shared" si="32"/>
        <v>5.274478859351367E-2</v>
      </c>
    </row>
    <row r="278" spans="1:5" x14ac:dyDescent="0.2">
      <c r="A278" s="588">
        <v>3</v>
      </c>
      <c r="B278" s="587" t="s">
        <v>777</v>
      </c>
      <c r="C278" s="623">
        <f t="shared" si="31"/>
        <v>0.21006868375349194</v>
      </c>
      <c r="D278" s="623">
        <f t="shared" si="31"/>
        <v>0.1820187264137659</v>
      </c>
      <c r="E278" s="650">
        <f t="shared" si="32"/>
        <v>-2.8049957339726039E-2</v>
      </c>
    </row>
    <row r="279" spans="1:5" x14ac:dyDescent="0.2">
      <c r="A279" s="588">
        <v>4</v>
      </c>
      <c r="B279" s="587" t="s">
        <v>115</v>
      </c>
      <c r="C279" s="623">
        <f t="shared" si="31"/>
        <v>0.21006868375349194</v>
      </c>
      <c r="D279" s="623">
        <f t="shared" si="31"/>
        <v>0.1820187264137659</v>
      </c>
      <c r="E279" s="650">
        <f t="shared" si="32"/>
        <v>-2.8049957339726039E-2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0.14339972377698626</v>
      </c>
      <c r="D281" s="623">
        <f t="shared" si="31"/>
        <v>0.44931350616309162</v>
      </c>
      <c r="E281" s="650">
        <f t="shared" si="32"/>
        <v>0.30591378238610534</v>
      </c>
    </row>
    <row r="282" spans="1:5" x14ac:dyDescent="0.2">
      <c r="A282" s="588">
        <v>7</v>
      </c>
      <c r="B282" s="587" t="s">
        <v>758</v>
      </c>
      <c r="C282" s="623">
        <f t="shared" si="31"/>
        <v>6.2533021070753966E-2</v>
      </c>
      <c r="D282" s="623">
        <f t="shared" si="31"/>
        <v>5.2509605697608167E-2</v>
      </c>
      <c r="E282" s="650">
        <f t="shared" si="32"/>
        <v>-1.00234153731458E-2</v>
      </c>
    </row>
    <row r="283" spans="1:5" ht="29.25" customHeight="1" x14ac:dyDescent="0.2">
      <c r="A283" s="588"/>
      <c r="B283" s="592" t="s">
        <v>844</v>
      </c>
      <c r="C283" s="651">
        <f t="shared" si="31"/>
        <v>0.20556825287675906</v>
      </c>
      <c r="D283" s="651">
        <f t="shared" si="31"/>
        <v>0.23512630600134185</v>
      </c>
      <c r="E283" s="652">
        <f t="shared" si="32"/>
        <v>2.9558053124582789E-2</v>
      </c>
    </row>
    <row r="284" spans="1:5" x14ac:dyDescent="0.2">
      <c r="A284" s="588"/>
      <c r="B284" s="592" t="s">
        <v>845</v>
      </c>
      <c r="C284" s="651">
        <f t="shared" si="31"/>
        <v>0.2296718755836582</v>
      </c>
      <c r="D284" s="651">
        <f t="shared" si="31"/>
        <v>0.2562996350921421</v>
      </c>
      <c r="E284" s="652">
        <f t="shared" si="32"/>
        <v>2.6627759508483895E-2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0.25678040248797512</v>
      </c>
      <c r="D287" s="623">
        <f t="shared" si="33"/>
        <v>0.22463041044366641</v>
      </c>
      <c r="E287" s="650">
        <f t="shared" ref="E287:E295" si="34">D287-C287</f>
        <v>-3.2149992044308712E-2</v>
      </c>
    </row>
    <row r="288" spans="1:5" x14ac:dyDescent="0.2">
      <c r="A288" s="588">
        <v>2</v>
      </c>
      <c r="B288" s="587" t="s">
        <v>635</v>
      </c>
      <c r="C288" s="623">
        <f t="shared" si="33"/>
        <v>0.17079478427721995</v>
      </c>
      <c r="D288" s="623">
        <f t="shared" si="33"/>
        <v>0.17471468032128115</v>
      </c>
      <c r="E288" s="650">
        <f t="shared" si="34"/>
        <v>3.9198960440612052E-3</v>
      </c>
    </row>
    <row r="289" spans="1:5" x14ac:dyDescent="0.2">
      <c r="A289" s="588">
        <v>3</v>
      </c>
      <c r="B289" s="587" t="s">
        <v>777</v>
      </c>
      <c r="C289" s="623">
        <f t="shared" si="33"/>
        <v>0.17460327617123148</v>
      </c>
      <c r="D289" s="623">
        <f t="shared" si="33"/>
        <v>0.18225642587495894</v>
      </c>
      <c r="E289" s="650">
        <f t="shared" si="34"/>
        <v>7.6531497037274632E-3</v>
      </c>
    </row>
    <row r="290" spans="1:5" x14ac:dyDescent="0.2">
      <c r="A290" s="588">
        <v>4</v>
      </c>
      <c r="B290" s="587" t="s">
        <v>115</v>
      </c>
      <c r="C290" s="623">
        <f t="shared" si="33"/>
        <v>0.17460327617123148</v>
      </c>
      <c r="D290" s="623">
        <f t="shared" si="33"/>
        <v>0.18225642587495894</v>
      </c>
      <c r="E290" s="650">
        <f t="shared" si="34"/>
        <v>7.6531497037274632E-3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0.1855995753635877</v>
      </c>
      <c r="D292" s="623">
        <f t="shared" si="33"/>
        <v>0.33494462245644319</v>
      </c>
      <c r="E292" s="650">
        <f t="shared" si="34"/>
        <v>0.14934504709285548</v>
      </c>
    </row>
    <row r="293" spans="1:5" x14ac:dyDescent="0.2">
      <c r="A293" s="588">
        <v>7</v>
      </c>
      <c r="B293" s="587" t="s">
        <v>758</v>
      </c>
      <c r="C293" s="623">
        <f t="shared" si="33"/>
        <v>0.2050402577005295</v>
      </c>
      <c r="D293" s="623">
        <f t="shared" si="33"/>
        <v>0.43346426181471331</v>
      </c>
      <c r="E293" s="650">
        <f t="shared" si="34"/>
        <v>0.22842400411418382</v>
      </c>
    </row>
    <row r="294" spans="1:5" ht="29.25" customHeight="1" x14ac:dyDescent="0.2">
      <c r="A294" s="588"/>
      <c r="B294" s="592" t="s">
        <v>847</v>
      </c>
      <c r="C294" s="651">
        <f t="shared" si="33"/>
        <v>0.17235204764741324</v>
      </c>
      <c r="D294" s="651">
        <f t="shared" si="33"/>
        <v>0.17816537130684595</v>
      </c>
      <c r="E294" s="652">
        <f t="shared" si="34"/>
        <v>5.813323659432712E-3</v>
      </c>
    </row>
    <row r="295" spans="1:5" x14ac:dyDescent="0.2">
      <c r="A295" s="588"/>
      <c r="B295" s="592" t="s">
        <v>848</v>
      </c>
      <c r="C295" s="651">
        <f t="shared" si="33"/>
        <v>0.20523151983038326</v>
      </c>
      <c r="D295" s="651">
        <f t="shared" si="33"/>
        <v>0.1962331281555367</v>
      </c>
      <c r="E295" s="652">
        <f t="shared" si="34"/>
        <v>-8.998391674846562E-3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200398576</v>
      </c>
      <c r="D301" s="590">
        <f>+D48+D47+D50+D51+D52+D59+D58+D61+D62+D63</f>
        <v>212259372</v>
      </c>
      <c r="E301" s="590">
        <f>D301-C301</f>
        <v>11860796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200398576</v>
      </c>
      <c r="D303" s="593">
        <f>+D301+D302</f>
        <v>212259372</v>
      </c>
      <c r="E303" s="593">
        <f>D303-C303</f>
        <v>11860796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-7694690</v>
      </c>
      <c r="D305" s="654">
        <v>-5355371</v>
      </c>
      <c r="E305" s="655">
        <f>D305-C305</f>
        <v>2339319</v>
      </c>
    </row>
    <row r="306" spans="1:5" x14ac:dyDescent="0.2">
      <c r="A306" s="588">
        <v>4</v>
      </c>
      <c r="B306" s="592" t="s">
        <v>855</v>
      </c>
      <c r="C306" s="593">
        <f>+C303+C305+C194+C190-C191</f>
        <v>199004947</v>
      </c>
      <c r="D306" s="593">
        <f>+D303+D305</f>
        <v>206904001</v>
      </c>
      <c r="E306" s="656">
        <f>D306-C306</f>
        <v>7899054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192703886</v>
      </c>
      <c r="D308" s="589">
        <v>206904001</v>
      </c>
      <c r="E308" s="590">
        <f>D308-C308</f>
        <v>14200115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6301061</v>
      </c>
      <c r="D310" s="658">
        <f>D306-D308</f>
        <v>0</v>
      </c>
      <c r="E310" s="656">
        <f>D310-C310</f>
        <v>-6301061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916257718</v>
      </c>
      <c r="D314" s="590">
        <f>+D14+D15+D16+D19+D25+D26+D27+D30</f>
        <v>926752839</v>
      </c>
      <c r="E314" s="590">
        <f>D314-C314</f>
        <v>10495121</v>
      </c>
    </row>
    <row r="315" spans="1:5" x14ac:dyDescent="0.2">
      <c r="A315" s="588">
        <v>2</v>
      </c>
      <c r="B315" s="659" t="s">
        <v>860</v>
      </c>
      <c r="C315" s="589">
        <v>80287239</v>
      </c>
      <c r="D315" s="589">
        <v>84295514</v>
      </c>
      <c r="E315" s="590">
        <f>D315-C315</f>
        <v>4008275</v>
      </c>
    </row>
    <row r="316" spans="1:5" x14ac:dyDescent="0.2">
      <c r="A316" s="588"/>
      <c r="B316" s="592" t="s">
        <v>861</v>
      </c>
      <c r="C316" s="657">
        <f>C314+C315</f>
        <v>996544957</v>
      </c>
      <c r="D316" s="657">
        <f>D314+D315</f>
        <v>1011048353</v>
      </c>
      <c r="E316" s="593">
        <f>D316-C316</f>
        <v>14503396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996544955</v>
      </c>
      <c r="D318" s="589">
        <v>1011048353</v>
      </c>
      <c r="E318" s="590">
        <f>D318-C318</f>
        <v>14503398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2</v>
      </c>
      <c r="D320" s="657">
        <f>D316-D318</f>
        <v>0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8486940</v>
      </c>
      <c r="D324" s="589">
        <f>+D193+D194</f>
        <v>11354293</v>
      </c>
      <c r="E324" s="590">
        <f>D324-C324</f>
        <v>2867353</v>
      </c>
    </row>
    <row r="325" spans="1:5" x14ac:dyDescent="0.2">
      <c r="A325" s="588">
        <v>2</v>
      </c>
      <c r="B325" s="587" t="s">
        <v>865</v>
      </c>
      <c r="C325" s="589">
        <v>583860</v>
      </c>
      <c r="D325" s="589">
        <v>1023791</v>
      </c>
      <c r="E325" s="590">
        <f>D325-C325</f>
        <v>439931</v>
      </c>
    </row>
    <row r="326" spans="1:5" x14ac:dyDescent="0.2">
      <c r="A326" s="588"/>
      <c r="B326" s="592" t="s">
        <v>866</v>
      </c>
      <c r="C326" s="657">
        <f>C324+C325</f>
        <v>9070800</v>
      </c>
      <c r="D326" s="657">
        <f>D324+D325</f>
        <v>12378084</v>
      </c>
      <c r="E326" s="593">
        <f>D326-C326</f>
        <v>3307284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9070799</v>
      </c>
      <c r="D328" s="589">
        <v>12378085</v>
      </c>
      <c r="E328" s="590">
        <f>D328-C328</f>
        <v>3307286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1</v>
      </c>
      <c r="D330" s="657">
        <f>D326-D328</f>
        <v>-1</v>
      </c>
      <c r="E330" s="593">
        <f>D330-C330</f>
        <v>-2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tabSelected="1" zoomScaleSheetLayoutView="75" workbookViewId="0">
      <selection sqref="A1:F1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119415398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272490812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113625600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113625600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569925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3893002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386686337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506101735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163568610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152686454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103742526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103742526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653514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7447832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257082494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420651104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282984008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643768831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926752839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38793560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69982068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20681987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20681987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256075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204420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90920130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129713690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36742484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26676565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18907742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18907742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218891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3228369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45803198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82545682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75536044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136723328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212259372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2753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5288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3582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3582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99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8893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11646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1.3774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1.593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1.0906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1.0906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0.98250000000000004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1.1895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1.3890600134937592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1.3863037008414905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261694975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72333072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189361903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0.72359778020193166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9981864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6731769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5849188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5505105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11354293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6874599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233811154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212259372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212259372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-5355371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206904001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206904001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926752839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84295514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1011048353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1011048353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11354293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1023791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12378084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12378085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-1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5" zoomScaleSheetLayoutView="90" workbookViewId="0">
      <selection sqref="A1:F1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3859</v>
      </c>
      <c r="D12" s="185">
        <v>3417</v>
      </c>
      <c r="E12" s="185">
        <f>+D12-C12</f>
        <v>-442</v>
      </c>
      <c r="F12" s="77">
        <f>IF(C12=0,0,+E12/C12)</f>
        <v>-0.11453744493392071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3859</v>
      </c>
      <c r="D13" s="185">
        <v>3417</v>
      </c>
      <c r="E13" s="185">
        <f>+D13-C13</f>
        <v>-442</v>
      </c>
      <c r="F13" s="77">
        <f>IF(C13=0,0,+E13/C13)</f>
        <v>-0.11453744493392071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4739178</v>
      </c>
      <c r="D15" s="76">
        <v>5849188</v>
      </c>
      <c r="E15" s="76">
        <f>+D15-C15</f>
        <v>1110010</v>
      </c>
      <c r="F15" s="77">
        <f>IF(C15=0,0,+E15/C15)</f>
        <v>0.23421994278332656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1228.084477844001</v>
      </c>
      <c r="D16" s="79">
        <f>IF(D13=0,0,+D15/+D13)</f>
        <v>1711.7904594673691</v>
      </c>
      <c r="E16" s="79">
        <f>+D16-C16</f>
        <v>483.70598162336819</v>
      </c>
      <c r="F16" s="80">
        <f>IF(C16=0,0,+E16/C16)</f>
        <v>0.39387028364087145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0.2369</v>
      </c>
      <c r="D18" s="704">
        <v>0.22862099999999999</v>
      </c>
      <c r="E18" s="704">
        <f>+D18-C18</f>
        <v>-8.2790000000000086E-3</v>
      </c>
      <c r="F18" s="77">
        <f>IF(C18=0,0,+E18/C18)</f>
        <v>-3.4947235120303961E-2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1122711.2682</v>
      </c>
      <c r="D19" s="79">
        <f>+D15*D18</f>
        <v>1337247.2097479999</v>
      </c>
      <c r="E19" s="79">
        <f>+D19-C19</f>
        <v>214535.94154799986</v>
      </c>
      <c r="F19" s="80">
        <f>IF(C19=0,0,+E19/C19)</f>
        <v>0.19108736825270944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290.93321280124388</v>
      </c>
      <c r="D20" s="79">
        <f>IF(D13=0,0,+D19/D13)</f>
        <v>391.35124663388933</v>
      </c>
      <c r="E20" s="79">
        <f>+D20-C20</f>
        <v>100.41803383264545</v>
      </c>
      <c r="F20" s="80">
        <f>IF(C20=0,0,+E20/C20)</f>
        <v>0.34515837111126874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1598286</v>
      </c>
      <c r="D22" s="76">
        <v>2534866</v>
      </c>
      <c r="E22" s="76">
        <f>+D22-C22</f>
        <v>936580</v>
      </c>
      <c r="F22" s="77">
        <f>IF(C22=0,0,+E22/C22)</f>
        <v>0.58599024204679262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958688</v>
      </c>
      <c r="D23" s="185">
        <v>1166452</v>
      </c>
      <c r="E23" s="185">
        <f>+D23-C23</f>
        <v>207764</v>
      </c>
      <c r="F23" s="77">
        <f>IF(C23=0,0,+E23/C23)</f>
        <v>0.21671701325144363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2182204</v>
      </c>
      <c r="D24" s="185">
        <v>2147870</v>
      </c>
      <c r="E24" s="185">
        <f>+D24-C24</f>
        <v>-34334</v>
      </c>
      <c r="F24" s="77">
        <f>IF(C24=0,0,+E24/C24)</f>
        <v>-1.5733634435643965E-2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4739178</v>
      </c>
      <c r="D25" s="79">
        <f>+D22+D23+D24</f>
        <v>5849188</v>
      </c>
      <c r="E25" s="79">
        <f>+E22+E23+E24</f>
        <v>1110010</v>
      </c>
      <c r="F25" s="80">
        <f>IF(C25=0,0,+E25/C25)</f>
        <v>0.23421994278332656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183</v>
      </c>
      <c r="D27" s="185">
        <v>276</v>
      </c>
      <c r="E27" s="185">
        <f>+D27-C27</f>
        <v>93</v>
      </c>
      <c r="F27" s="77">
        <f>IF(C27=0,0,+E27/C27)</f>
        <v>0.50819672131147542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60</v>
      </c>
      <c r="D28" s="185">
        <v>54</v>
      </c>
      <c r="E28" s="185">
        <f>+D28-C28</f>
        <v>-6</v>
      </c>
      <c r="F28" s="77">
        <f>IF(C28=0,0,+E28/C28)</f>
        <v>-0.1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1356</v>
      </c>
      <c r="D29" s="185">
        <v>1244</v>
      </c>
      <c r="E29" s="185">
        <f>+D29-C29</f>
        <v>-112</v>
      </c>
      <c r="F29" s="77">
        <f>IF(C29=0,0,+E29/C29)</f>
        <v>-8.2595870206489674E-2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499</v>
      </c>
      <c r="D30" s="185">
        <v>424</v>
      </c>
      <c r="E30" s="185">
        <f>+D30-C30</f>
        <v>-75</v>
      </c>
      <c r="F30" s="77">
        <f>IF(C30=0,0,+E30/C30)</f>
        <v>-0.15030060120240482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1558176</v>
      </c>
      <c r="D33" s="76">
        <v>2884158</v>
      </c>
      <c r="E33" s="76">
        <f>+D33-C33</f>
        <v>1325982</v>
      </c>
      <c r="F33" s="77">
        <f>IF(C33=0,0,+E33/C33)</f>
        <v>0.85098345758117189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910620</v>
      </c>
      <c r="D34" s="185">
        <v>1704050</v>
      </c>
      <c r="E34" s="185">
        <f>+D34-C34</f>
        <v>793430</v>
      </c>
      <c r="F34" s="77">
        <f>IF(C34=0,0,+E34/C34)</f>
        <v>0.87130746085084887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1278966</v>
      </c>
      <c r="D35" s="185">
        <v>916897</v>
      </c>
      <c r="E35" s="185">
        <f>+D35-C35</f>
        <v>-362069</v>
      </c>
      <c r="F35" s="77">
        <f>IF(C35=0,0,+E35/C35)</f>
        <v>-0.28309509400562644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3747762</v>
      </c>
      <c r="D36" s="79">
        <f>+D33+D34+D35</f>
        <v>5505105</v>
      </c>
      <c r="E36" s="79">
        <f>+E33+E34+E35</f>
        <v>1757343</v>
      </c>
      <c r="F36" s="80">
        <f>IF(C36=0,0,+E36/C36)</f>
        <v>0.46890464229051898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4739178</v>
      </c>
      <c r="D39" s="76">
        <f>+D25</f>
        <v>5849188</v>
      </c>
      <c r="E39" s="76">
        <f>+D39-C39</f>
        <v>1110010</v>
      </c>
      <c r="F39" s="77">
        <f>IF(C39=0,0,+E39/C39)</f>
        <v>0.23421994278332656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3747762</v>
      </c>
      <c r="D40" s="185">
        <f>+D36</f>
        <v>5505105</v>
      </c>
      <c r="E40" s="185">
        <f>+D40-C40</f>
        <v>1757343</v>
      </c>
      <c r="F40" s="77">
        <f>IF(C40=0,0,+E40/C40)</f>
        <v>0.46890464229051898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8486940</v>
      </c>
      <c r="D41" s="79">
        <f>+D39+D40</f>
        <v>11354293</v>
      </c>
      <c r="E41" s="79">
        <f>+E39+E40</f>
        <v>2867353</v>
      </c>
      <c r="F41" s="80">
        <f>IF(C41=0,0,+E41/C41)</f>
        <v>0.33785475094674877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3156462</v>
      </c>
      <c r="D43" s="76">
        <f t="shared" si="0"/>
        <v>5419024</v>
      </c>
      <c r="E43" s="76">
        <f>+D43-C43</f>
        <v>2262562</v>
      </c>
      <c r="F43" s="77">
        <f>IF(C43=0,0,+E43/C43)</f>
        <v>0.71680318026955492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1869308</v>
      </c>
      <c r="D44" s="185">
        <f t="shared" si="0"/>
        <v>2870502</v>
      </c>
      <c r="E44" s="185">
        <f>+D44-C44</f>
        <v>1001194</v>
      </c>
      <c r="F44" s="77">
        <f>IF(C44=0,0,+E44/C44)</f>
        <v>0.53559606014632155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3461170</v>
      </c>
      <c r="D45" s="185">
        <f t="shared" si="0"/>
        <v>3064767</v>
      </c>
      <c r="E45" s="185">
        <f>+D45-C45</f>
        <v>-396403</v>
      </c>
      <c r="F45" s="77">
        <f>IF(C45=0,0,+E45/C45)</f>
        <v>-0.1145286131568227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8486940</v>
      </c>
      <c r="D46" s="79">
        <f>+D43+D44+D45</f>
        <v>11354293</v>
      </c>
      <c r="E46" s="79">
        <f>+E43+E44+E45</f>
        <v>2867353</v>
      </c>
      <c r="F46" s="80">
        <f>IF(C46=0,0,+E46/C46)</f>
        <v>0.33785475094674877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75" zoomScaleSheetLayoutView="90" workbookViewId="0">
      <selection sqref="A1:F1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263412870</v>
      </c>
      <c r="D15" s="76">
        <v>261694975</v>
      </c>
      <c r="E15" s="76">
        <f>+D15-C15</f>
        <v>-1717895</v>
      </c>
      <c r="F15" s="77">
        <f>IF(C15=0,0,E15/C15)</f>
        <v>-6.5216821030802327E-3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187936329</v>
      </c>
      <c r="D17" s="76">
        <v>189361903</v>
      </c>
      <c r="E17" s="76">
        <f>+D17-C17</f>
        <v>1425574</v>
      </c>
      <c r="F17" s="77">
        <f>IF(C17=0,0,E17/C17)</f>
        <v>7.5854094181013829E-3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75476541</v>
      </c>
      <c r="D19" s="79">
        <f>+D15-D17</f>
        <v>72333072</v>
      </c>
      <c r="E19" s="79">
        <f>+D19-C19</f>
        <v>-3143469</v>
      </c>
      <c r="F19" s="80">
        <f>IF(C19=0,0,E19/C19)</f>
        <v>-4.1648291752002783E-2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0.71346676796771547</v>
      </c>
      <c r="D21" s="720">
        <f>IF(D15=0,0,D17/D15)</f>
        <v>0.72359778020193166</v>
      </c>
      <c r="E21" s="720">
        <f>+D21-C21</f>
        <v>1.0131012234216197E-2</v>
      </c>
      <c r="F21" s="80">
        <f>IF(C21=0,0,E21/C21)</f>
        <v>1.4199697433804831E-2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7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5" workbookViewId="0">
      <selection sqref="A1:F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503526979</v>
      </c>
      <c r="D10" s="744">
        <v>505459581</v>
      </c>
      <c r="E10" s="744">
        <v>506101735</v>
      </c>
    </row>
    <row r="11" spans="1:6" ht="26.1" customHeight="1" x14ac:dyDescent="0.25">
      <c r="A11" s="742">
        <v>2</v>
      </c>
      <c r="B11" s="743" t="s">
        <v>932</v>
      </c>
      <c r="C11" s="744">
        <v>401948447</v>
      </c>
      <c r="D11" s="744">
        <v>410798137</v>
      </c>
      <c r="E11" s="744">
        <v>420651104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905475426</v>
      </c>
      <c r="D12" s="744">
        <f>+D11+D10</f>
        <v>916257718</v>
      </c>
      <c r="E12" s="744">
        <f>+E11+E10</f>
        <v>926752839</v>
      </c>
    </row>
    <row r="13" spans="1:6" ht="26.1" customHeight="1" x14ac:dyDescent="0.25">
      <c r="A13" s="742">
        <v>4</v>
      </c>
      <c r="B13" s="743" t="s">
        <v>507</v>
      </c>
      <c r="C13" s="744">
        <v>208626652</v>
      </c>
      <c r="D13" s="744">
        <v>192703886</v>
      </c>
      <c r="E13" s="744">
        <v>206904001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216453293</v>
      </c>
      <c r="D16" s="744">
        <v>210952866</v>
      </c>
      <c r="E16" s="744">
        <v>233811154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58082</v>
      </c>
      <c r="D19" s="747">
        <v>55390</v>
      </c>
      <c r="E19" s="747">
        <v>52586</v>
      </c>
    </row>
    <row r="20" spans="1:5" ht="26.1" customHeight="1" x14ac:dyDescent="0.25">
      <c r="A20" s="742">
        <v>2</v>
      </c>
      <c r="B20" s="743" t="s">
        <v>381</v>
      </c>
      <c r="C20" s="748">
        <v>11693</v>
      </c>
      <c r="D20" s="748">
        <v>11646</v>
      </c>
      <c r="E20" s="748">
        <v>11646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4.9672453604720772</v>
      </c>
      <c r="D21" s="749">
        <f>IF(D20=0,0,+D19/D20)</f>
        <v>4.7561394470204359</v>
      </c>
      <c r="E21" s="749">
        <f>IF(E20=0,0,+E19/E20)</f>
        <v>4.5153700841490645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104446.88345672934</v>
      </c>
      <c r="D22" s="748">
        <f>IF(D10=0,0,D19*(D12/D10))</f>
        <v>100406.67326873758</v>
      </c>
      <c r="E22" s="748">
        <f>IF(E10=0,0,E19*(E12/E10))</f>
        <v>96293.336737235251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21027.123863839679</v>
      </c>
      <c r="D23" s="748">
        <f>IF(D10=0,0,D20*(D12/D10))</f>
        <v>21110.960767064775</v>
      </c>
      <c r="E23" s="748">
        <f>IF(E10=0,0,E20*(E12/E10))</f>
        <v>21325.679831929443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1.3125749593774052</v>
      </c>
      <c r="D26" s="750">
        <v>1.2694708311866736</v>
      </c>
      <c r="E26" s="750">
        <v>1.3863037008414905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76236.978790558453</v>
      </c>
      <c r="D27" s="748">
        <f>D19*D26</f>
        <v>70315.989339429856</v>
      </c>
      <c r="E27" s="748">
        <f>E19*E26</f>
        <v>72900.166412450621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15347.938999999998</v>
      </c>
      <c r="D28" s="748">
        <f>D20*D26</f>
        <v>14784.257300000001</v>
      </c>
      <c r="E28" s="748">
        <f>E20*E26</f>
        <v>16144.892899999997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137094.36381031308</v>
      </c>
      <c r="D29" s="748">
        <f>D22*D26</f>
        <v>127463.34297115305</v>
      </c>
      <c r="E29" s="748">
        <f>E22*E26</f>
        <v>133491.80908520508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27599.676251403034</v>
      </c>
      <c r="D30" s="748">
        <f>D23*D26</f>
        <v>26799.748912114977</v>
      </c>
      <c r="E30" s="748">
        <f>E23*E26</f>
        <v>29563.868873964522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15589.60480011019</v>
      </c>
      <c r="D33" s="744">
        <f>IF(D19=0,0,D12/D19)</f>
        <v>16541.93388698321</v>
      </c>
      <c r="E33" s="744">
        <f>IF(E19=0,0,E12/E19)</f>
        <v>17623.56594911193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77437.392114940565</v>
      </c>
      <c r="D34" s="744">
        <f>IF(D20=0,0,D12/D20)</f>
        <v>78675.74428988494</v>
      </c>
      <c r="E34" s="744">
        <f>IF(E20=0,0,E12/E20)</f>
        <v>79576.922462648115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8669.2431217933263</v>
      </c>
      <c r="D35" s="744">
        <f>IF(D22=0,0,D12/D22)</f>
        <v>9125.4663477161957</v>
      </c>
      <c r="E35" s="744">
        <f>IF(E22=0,0,E12/E22)</f>
        <v>9624.267580724907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43062.257675532368</v>
      </c>
      <c r="D36" s="744">
        <f>IF(D23=0,0,D12/D23)</f>
        <v>43401.990468830503</v>
      </c>
      <c r="E36" s="744">
        <f>IF(E23=0,0,E12/E23)</f>
        <v>43457.129915850936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6604.7604061450447</v>
      </c>
      <c r="D37" s="744">
        <f>IF(D29=0,0,D12/D29)</f>
        <v>7188.4017525522104</v>
      </c>
      <c r="E37" s="744">
        <f>IF(E29=0,0,E12/E29)</f>
        <v>6942.3947832520025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32807.465484453642</v>
      </c>
      <c r="D38" s="744">
        <f>IF(D30=0,0,D12/D30)</f>
        <v>34189.0411363444</v>
      </c>
      <c r="E38" s="744">
        <f>IF(E30=0,0,E12/E30)</f>
        <v>31347.481716648617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4820.8904118101627</v>
      </c>
      <c r="D39" s="744">
        <f>IF(D22=0,0,D10/D22)</f>
        <v>5034.1233759148845</v>
      </c>
      <c r="E39" s="744">
        <f>IF(E22=0,0,E10/E22)</f>
        <v>5255.8333956278593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23946.545531408352</v>
      </c>
      <c r="D40" s="744">
        <f>IF(D23=0,0,D10/D23)</f>
        <v>23942.992769356468</v>
      </c>
      <c r="E40" s="744">
        <f>IF(E23=0,0,E10/E23)</f>
        <v>23732.032881889627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3591.932991288179</v>
      </c>
      <c r="D43" s="744">
        <f>IF(D19=0,0,D13/D19)</f>
        <v>3479.0374796894748</v>
      </c>
      <c r="E43" s="744">
        <f>IF(E19=0,0,E13/E19)</f>
        <v>3934.5833681968584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17842.012486102798</v>
      </c>
      <c r="D44" s="744">
        <f>IF(D20=0,0,D13/D20)</f>
        <v>16546.787394813669</v>
      </c>
      <c r="E44" s="744">
        <f>IF(E20=0,0,E13/E20)</f>
        <v>17766.100034346557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1997.4425765076146</v>
      </c>
      <c r="D45" s="744">
        <f>IF(D22=0,0,D13/D22)</f>
        <v>1919.233848971669</v>
      </c>
      <c r="E45" s="744">
        <f>IF(E22=0,0,E13/E22)</f>
        <v>2148.684509340439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9921.7873709668402</v>
      </c>
      <c r="D46" s="744">
        <f>IF(D23=0,0,D13/D23)</f>
        <v>9128.1438171510163</v>
      </c>
      <c r="E46" s="744">
        <f>IF(E23=0,0,E13/E23)</f>
        <v>9702.1057537503293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1521.774099252254</v>
      </c>
      <c r="D47" s="744">
        <f>IF(D29=0,0,D13/D29)</f>
        <v>1511.8376900220787</v>
      </c>
      <c r="E47" s="744">
        <f>IF(E29=0,0,E13/E29)</f>
        <v>1549.9378008124636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7559.0253341973321</v>
      </c>
      <c r="D48" s="744">
        <f>IF(D30=0,0,D13/D30)</f>
        <v>7190.5108750062627</v>
      </c>
      <c r="E48" s="744">
        <f>IF(E30=0,0,E13/E30)</f>
        <v>6998.5427780803884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3726.684566647154</v>
      </c>
      <c r="D51" s="744">
        <f>IF(D19=0,0,D16/D19)</f>
        <v>3808.5009207438166</v>
      </c>
      <c r="E51" s="744">
        <f>IF(E19=0,0,E16/E19)</f>
        <v>4446.2623892290721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18511.35662362097</v>
      </c>
      <c r="D52" s="744">
        <f>IF(D20=0,0,D16/D20)</f>
        <v>18113.761463163319</v>
      </c>
      <c r="E52" s="744">
        <f>IF(E20=0,0,E16/E20)</f>
        <v>20076.520178602095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2072.3767510944749</v>
      </c>
      <c r="D53" s="744">
        <f>IF(D22=0,0,D16/D22)</f>
        <v>2100.9845175866599</v>
      </c>
      <c r="E53" s="744">
        <f>IF(E22=0,0,E16/E22)</f>
        <v>2428.1135322792129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10294.003802024226</v>
      </c>
      <c r="D54" s="744">
        <f>IF(D23=0,0,D16/D23)</f>
        <v>9992.575341673115</v>
      </c>
      <c r="E54" s="744">
        <f>IF(E23=0,0,E16/E23)</f>
        <v>10963.831204571072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1578.8635432123947</v>
      </c>
      <c r="D55" s="744">
        <f>IF(D29=0,0,D16/D29)</f>
        <v>1655.0081072935764</v>
      </c>
      <c r="E55" s="744">
        <f>IF(E29=0,0,E16/E29)</f>
        <v>1751.5018756751072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7842.6026098402717</v>
      </c>
      <c r="D56" s="744">
        <f>IF(D30=0,0,D16/D30)</f>
        <v>7871.4493442376088</v>
      </c>
      <c r="E56" s="744">
        <f>IF(E30=0,0,E16/E30)</f>
        <v>7908.679171754352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32573504</v>
      </c>
      <c r="D59" s="752">
        <v>31988923</v>
      </c>
      <c r="E59" s="752">
        <v>31304469</v>
      </c>
    </row>
    <row r="60" spans="1:6" ht="26.1" customHeight="1" x14ac:dyDescent="0.25">
      <c r="A60" s="742">
        <v>2</v>
      </c>
      <c r="B60" s="743" t="s">
        <v>968</v>
      </c>
      <c r="C60" s="752">
        <v>9167076</v>
      </c>
      <c r="D60" s="752">
        <v>10356276</v>
      </c>
      <c r="E60" s="752">
        <v>37740754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41740580</v>
      </c>
      <c r="D61" s="755">
        <f>D59+D60</f>
        <v>42345199</v>
      </c>
      <c r="E61" s="755">
        <f>E59+E60</f>
        <v>69045223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3568677</v>
      </c>
      <c r="D64" s="744">
        <v>5125182</v>
      </c>
      <c r="E64" s="752">
        <v>5722017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1004323</v>
      </c>
      <c r="D65" s="752">
        <v>1659256</v>
      </c>
      <c r="E65" s="752">
        <v>1725637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4573000</v>
      </c>
      <c r="D66" s="757">
        <f>D64+D65</f>
        <v>6784438</v>
      </c>
      <c r="E66" s="757">
        <f>E64+E65</f>
        <v>7447654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47766756</v>
      </c>
      <c r="D69" s="752">
        <v>43729677</v>
      </c>
      <c r="E69" s="752">
        <v>44834099</v>
      </c>
    </row>
    <row r="70" spans="1:6" ht="26.1" customHeight="1" x14ac:dyDescent="0.25">
      <c r="A70" s="742">
        <v>2</v>
      </c>
      <c r="B70" s="743" t="s">
        <v>976</v>
      </c>
      <c r="C70" s="752">
        <v>13442873</v>
      </c>
      <c r="D70" s="752">
        <v>14157295</v>
      </c>
      <c r="E70" s="752">
        <v>13520999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61209629</v>
      </c>
      <c r="D71" s="755">
        <f>D69+D70</f>
        <v>57886972</v>
      </c>
      <c r="E71" s="755">
        <f>E69+E70</f>
        <v>58355098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83908937</v>
      </c>
      <c r="D75" s="744">
        <f t="shared" si="0"/>
        <v>80843782</v>
      </c>
      <c r="E75" s="744">
        <f t="shared" si="0"/>
        <v>81860585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23614272</v>
      </c>
      <c r="D76" s="744">
        <f t="shared" si="0"/>
        <v>26172827</v>
      </c>
      <c r="E76" s="744">
        <f t="shared" si="0"/>
        <v>52987390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107523209</v>
      </c>
      <c r="D77" s="757">
        <f>D75+D76</f>
        <v>107016609</v>
      </c>
      <c r="E77" s="757">
        <f>E75+E76</f>
        <v>134847975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343.2</v>
      </c>
      <c r="D80" s="749">
        <v>331.9</v>
      </c>
      <c r="E80" s="749">
        <v>334.8</v>
      </c>
    </row>
    <row r="81" spans="1:5" ht="26.1" customHeight="1" x14ac:dyDescent="0.25">
      <c r="A81" s="742">
        <v>2</v>
      </c>
      <c r="B81" s="743" t="s">
        <v>617</v>
      </c>
      <c r="C81" s="749">
        <v>33</v>
      </c>
      <c r="D81" s="749">
        <v>53.9</v>
      </c>
      <c r="E81" s="749">
        <v>62.8</v>
      </c>
    </row>
    <row r="82" spans="1:5" ht="26.1" customHeight="1" x14ac:dyDescent="0.25">
      <c r="A82" s="742">
        <v>3</v>
      </c>
      <c r="B82" s="743" t="s">
        <v>982</v>
      </c>
      <c r="C82" s="749">
        <v>775.3</v>
      </c>
      <c r="D82" s="749">
        <v>734.9</v>
      </c>
      <c r="E82" s="749">
        <v>733.3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1151.5</v>
      </c>
      <c r="D83" s="759">
        <f>D80+D81+D82</f>
        <v>1120.6999999999998</v>
      </c>
      <c r="E83" s="759">
        <f>E80+E81+E82</f>
        <v>1130.9000000000001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94911.142191142193</v>
      </c>
      <c r="D86" s="752">
        <f>IF(D80=0,0,D59/D80)</f>
        <v>96381.208195239538</v>
      </c>
      <c r="E86" s="752">
        <f>IF(E80=0,0,E59/E80)</f>
        <v>93501.998207885306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26710.594405594406</v>
      </c>
      <c r="D87" s="752">
        <f>IF(D80=0,0,D60/D80)</f>
        <v>31203.000903886714</v>
      </c>
      <c r="E87" s="752">
        <f>IF(E80=0,0,E60/E80)</f>
        <v>112726.26642771803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121621.73659673659</v>
      </c>
      <c r="D88" s="755">
        <f>+D86+D87</f>
        <v>127584.20909912625</v>
      </c>
      <c r="E88" s="755">
        <f>+E86+E87</f>
        <v>206228.26463560335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108141.72727272728</v>
      </c>
      <c r="D91" s="744">
        <f>IF(D81=0,0,D64/D81)</f>
        <v>95086.864564007425</v>
      </c>
      <c r="E91" s="744">
        <f>IF(E81=0,0,E64/E81)</f>
        <v>91114.920382165612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30434.030303030304</v>
      </c>
      <c r="D92" s="744">
        <f>IF(D81=0,0,D65/D81)</f>
        <v>30783.970315398888</v>
      </c>
      <c r="E92" s="744">
        <f>IF(E81=0,0,E65/E81)</f>
        <v>27478.29617834395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138575.75757575757</v>
      </c>
      <c r="D93" s="757">
        <f>+D91+D92</f>
        <v>125870.83487940632</v>
      </c>
      <c r="E93" s="757">
        <f>+E91+E92</f>
        <v>118593.21656050957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61610.674577582875</v>
      </c>
      <c r="D96" s="752">
        <f>IF(D82=0,0,D69/D82)</f>
        <v>59504.255000680365</v>
      </c>
      <c r="E96" s="752">
        <f>IF(E82=0,0,E69/E82)</f>
        <v>61140.18682667394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17338.930736489103</v>
      </c>
      <c r="D97" s="752">
        <f>IF(D82=0,0,D70/D82)</f>
        <v>19264.246836304261</v>
      </c>
      <c r="E97" s="752">
        <f>IF(E82=0,0,E70/E82)</f>
        <v>18438.56402563753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78949.605314071974</v>
      </c>
      <c r="D98" s="757">
        <f>+D96+D97</f>
        <v>78768.501836984622</v>
      </c>
      <c r="E98" s="757">
        <f>+E96+E97</f>
        <v>79578.750852311467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72869.2462006079</v>
      </c>
      <c r="D101" s="744">
        <f>IF(D83=0,0,D75/D83)</f>
        <v>72136.862675113778</v>
      </c>
      <c r="E101" s="744">
        <f>IF(E83=0,0,E75/E83)</f>
        <v>72385.343531700404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20507.400781589233</v>
      </c>
      <c r="D102" s="761">
        <f>IF(D83=0,0,D76/D83)</f>
        <v>23353.999286160441</v>
      </c>
      <c r="E102" s="761">
        <f>IF(E83=0,0,E76/E83)</f>
        <v>46854.178088248293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93376.646982197126</v>
      </c>
      <c r="D103" s="757">
        <f>+D101+D102</f>
        <v>95490.861961274219</v>
      </c>
      <c r="E103" s="757">
        <f>+E101+E102</f>
        <v>119239.5216199487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1851.2311731689681</v>
      </c>
      <c r="D108" s="744">
        <f>IF(D19=0,0,D77/D19)</f>
        <v>1932.0564903412169</v>
      </c>
      <c r="E108" s="744">
        <f>IF(E19=0,0,E77/E19)</f>
        <v>2564.3322367169967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9195.5194560848377</v>
      </c>
      <c r="D109" s="744">
        <f>IF(D20=0,0,D77/D20)</f>
        <v>9189.1300875837205</v>
      </c>
      <c r="E109" s="744">
        <f>IF(E20=0,0,E77/E20)</f>
        <v>11578.909067490984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1029.4534929282513</v>
      </c>
      <c r="D110" s="744">
        <f>IF(D22=0,0,D77/D22)</f>
        <v>1065.8316376399703</v>
      </c>
      <c r="E110" s="744">
        <f>IF(E22=0,0,E77/E22)</f>
        <v>1400.3873951109665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5113.54808656963</v>
      </c>
      <c r="D111" s="744">
        <f>IF(D23=0,0,D77/D23)</f>
        <v>5069.2438956618544</v>
      </c>
      <c r="E111" s="744">
        <f>IF(E23=0,0,E77/E23)</f>
        <v>6323.2673501034933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784.30072551174749</v>
      </c>
      <c r="D112" s="744">
        <f>IF(D29=0,0,D77/D29)</f>
        <v>839.58733942996878</v>
      </c>
      <c r="E112" s="744">
        <f>IF(E29=0,0,E77/E29)</f>
        <v>1010.1591694957801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3895.8141400131112</v>
      </c>
      <c r="D113" s="744">
        <f>IF(D30=0,0,D77/D30)</f>
        <v>3993.1944642818103</v>
      </c>
      <c r="E113" s="744">
        <f>IF(E30=0,0,E77/E30)</f>
        <v>4561.2424941701092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916257719</v>
      </c>
      <c r="D12" s="76">
        <v>926752839</v>
      </c>
      <c r="E12" s="76">
        <f t="shared" ref="E12:E21" si="0">D12-C12</f>
        <v>10495120</v>
      </c>
      <c r="F12" s="77">
        <f t="shared" ref="F12:F21" si="1">IF(C12=0,0,E12/C12)</f>
        <v>1.1454331878867369E-2</v>
      </c>
    </row>
    <row r="13" spans="1:8" ht="23.1" customHeight="1" x14ac:dyDescent="0.2">
      <c r="A13" s="74">
        <v>2</v>
      </c>
      <c r="B13" s="75" t="s">
        <v>72</v>
      </c>
      <c r="C13" s="76">
        <v>705161881</v>
      </c>
      <c r="D13" s="76">
        <v>695049353</v>
      </c>
      <c r="E13" s="76">
        <f t="shared" si="0"/>
        <v>-10112528</v>
      </c>
      <c r="F13" s="77">
        <f t="shared" si="1"/>
        <v>-1.4340718454121885E-2</v>
      </c>
    </row>
    <row r="14" spans="1:8" ht="23.1" customHeight="1" x14ac:dyDescent="0.2">
      <c r="A14" s="74">
        <v>3</v>
      </c>
      <c r="B14" s="75" t="s">
        <v>73</v>
      </c>
      <c r="C14" s="76">
        <v>5323038</v>
      </c>
      <c r="D14" s="76">
        <v>6872980</v>
      </c>
      <c r="E14" s="76">
        <f t="shared" si="0"/>
        <v>1549942</v>
      </c>
      <c r="F14" s="77">
        <f t="shared" si="1"/>
        <v>0.29117620426530866</v>
      </c>
    </row>
    <row r="15" spans="1:8" ht="23.1" customHeight="1" x14ac:dyDescent="0.2">
      <c r="A15" s="74">
        <v>4</v>
      </c>
      <c r="B15" s="75" t="s">
        <v>74</v>
      </c>
      <c r="C15" s="76">
        <v>9321152</v>
      </c>
      <c r="D15" s="76">
        <v>12421400</v>
      </c>
      <c r="E15" s="76">
        <f t="shared" si="0"/>
        <v>3100248</v>
      </c>
      <c r="F15" s="77">
        <f t="shared" si="1"/>
        <v>0.33260352368462609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196451648</v>
      </c>
      <c r="D16" s="79">
        <f>D12-D13-D14-D15</f>
        <v>212409106</v>
      </c>
      <c r="E16" s="79">
        <f t="shared" si="0"/>
        <v>15957458</v>
      </c>
      <c r="F16" s="80">
        <f t="shared" si="1"/>
        <v>8.1228425225529283E-2</v>
      </c>
    </row>
    <row r="17" spans="1:7" ht="23.1" customHeight="1" x14ac:dyDescent="0.2">
      <c r="A17" s="74">
        <v>5</v>
      </c>
      <c r="B17" s="75" t="s">
        <v>76</v>
      </c>
      <c r="C17" s="76">
        <v>3747762</v>
      </c>
      <c r="D17" s="76">
        <v>5505105</v>
      </c>
      <c r="E17" s="76">
        <f t="shared" si="0"/>
        <v>1757343</v>
      </c>
      <c r="F17" s="77">
        <f t="shared" si="1"/>
        <v>0.46890464229051898</v>
      </c>
      <c r="G17" s="65"/>
    </row>
    <row r="18" spans="1:7" ht="31.5" customHeight="1" x14ac:dyDescent="0.25">
      <c r="A18" s="71"/>
      <c r="B18" s="81" t="s">
        <v>77</v>
      </c>
      <c r="C18" s="79">
        <f>C16-C17</f>
        <v>192703886</v>
      </c>
      <c r="D18" s="79">
        <f>D16-D17</f>
        <v>206904001</v>
      </c>
      <c r="E18" s="79">
        <f t="shared" si="0"/>
        <v>14200115</v>
      </c>
      <c r="F18" s="80">
        <f t="shared" si="1"/>
        <v>7.3688783836979813E-2</v>
      </c>
    </row>
    <row r="19" spans="1:7" ht="23.1" customHeight="1" x14ac:dyDescent="0.2">
      <c r="A19" s="74">
        <v>6</v>
      </c>
      <c r="B19" s="75" t="s">
        <v>78</v>
      </c>
      <c r="C19" s="76">
        <v>1447376</v>
      </c>
      <c r="D19" s="76">
        <v>1779240</v>
      </c>
      <c r="E19" s="76">
        <f t="shared" si="0"/>
        <v>331864</v>
      </c>
      <c r="F19" s="77">
        <f t="shared" si="1"/>
        <v>0.22928665391715766</v>
      </c>
      <c r="G19" s="65"/>
    </row>
    <row r="20" spans="1:7" ht="33" customHeight="1" x14ac:dyDescent="0.2">
      <c r="A20" s="74">
        <v>7</v>
      </c>
      <c r="B20" s="82" t="s">
        <v>79</v>
      </c>
      <c r="C20" s="76">
        <v>5014429</v>
      </c>
      <c r="D20" s="76">
        <v>5095359</v>
      </c>
      <c r="E20" s="76">
        <f t="shared" si="0"/>
        <v>80930</v>
      </c>
      <c r="F20" s="77">
        <f t="shared" si="1"/>
        <v>1.6139424847774295E-2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199165691</v>
      </c>
      <c r="D21" s="79">
        <f>SUM(D18:D20)</f>
        <v>213778600</v>
      </c>
      <c r="E21" s="79">
        <f t="shared" si="0"/>
        <v>14612909</v>
      </c>
      <c r="F21" s="80">
        <f t="shared" si="1"/>
        <v>7.3370613817216143E-2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80843782</v>
      </c>
      <c r="D24" s="76">
        <v>81860585</v>
      </c>
      <c r="E24" s="76">
        <f t="shared" ref="E24:E33" si="2">D24-C24</f>
        <v>1016803</v>
      </c>
      <c r="F24" s="77">
        <f t="shared" ref="F24:F33" si="3">IF(C24=0,0,E24/C24)</f>
        <v>1.2577380410035741E-2</v>
      </c>
    </row>
    <row r="25" spans="1:7" ht="23.1" customHeight="1" x14ac:dyDescent="0.2">
      <c r="A25" s="74">
        <v>2</v>
      </c>
      <c r="B25" s="75" t="s">
        <v>83</v>
      </c>
      <c r="C25" s="76">
        <v>26172827</v>
      </c>
      <c r="D25" s="76">
        <v>52987390</v>
      </c>
      <c r="E25" s="76">
        <f t="shared" si="2"/>
        <v>26814563</v>
      </c>
      <c r="F25" s="77">
        <f t="shared" si="3"/>
        <v>1.0245191702065657</v>
      </c>
    </row>
    <row r="26" spans="1:7" ht="23.1" customHeight="1" x14ac:dyDescent="0.2">
      <c r="A26" s="74">
        <v>3</v>
      </c>
      <c r="B26" s="75" t="s">
        <v>84</v>
      </c>
      <c r="C26" s="76">
        <v>11845274</v>
      </c>
      <c r="D26" s="76">
        <v>9989162</v>
      </c>
      <c r="E26" s="76">
        <f t="shared" si="2"/>
        <v>-1856112</v>
      </c>
      <c r="F26" s="77">
        <f t="shared" si="3"/>
        <v>-0.15669641749106014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28836195</v>
      </c>
      <c r="D27" s="76">
        <v>30812889</v>
      </c>
      <c r="E27" s="76">
        <f t="shared" si="2"/>
        <v>1976694</v>
      </c>
      <c r="F27" s="77">
        <f t="shared" si="3"/>
        <v>6.8549057876741371E-2</v>
      </c>
    </row>
    <row r="28" spans="1:7" ht="23.1" customHeight="1" x14ac:dyDescent="0.2">
      <c r="A28" s="74">
        <v>5</v>
      </c>
      <c r="B28" s="75" t="s">
        <v>86</v>
      </c>
      <c r="C28" s="76">
        <v>6812424</v>
      </c>
      <c r="D28" s="76">
        <v>6440534</v>
      </c>
      <c r="E28" s="76">
        <f t="shared" si="2"/>
        <v>-371890</v>
      </c>
      <c r="F28" s="77">
        <f t="shared" si="3"/>
        <v>-5.458996680183148E-2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1330630</v>
      </c>
      <c r="D30" s="76">
        <v>1399297</v>
      </c>
      <c r="E30" s="76">
        <f t="shared" si="2"/>
        <v>68667</v>
      </c>
      <c r="F30" s="77">
        <f t="shared" si="3"/>
        <v>5.1604878891953435E-2</v>
      </c>
    </row>
    <row r="31" spans="1:7" ht="23.1" customHeight="1" x14ac:dyDescent="0.2">
      <c r="A31" s="74">
        <v>8</v>
      </c>
      <c r="B31" s="75" t="s">
        <v>89</v>
      </c>
      <c r="C31" s="76">
        <v>6135436</v>
      </c>
      <c r="D31" s="76">
        <v>-5034651</v>
      </c>
      <c r="E31" s="76">
        <f t="shared" si="2"/>
        <v>-11170087</v>
      </c>
      <c r="F31" s="77">
        <f t="shared" si="3"/>
        <v>-1.8205856926875286</v>
      </c>
    </row>
    <row r="32" spans="1:7" ht="23.1" customHeight="1" x14ac:dyDescent="0.2">
      <c r="A32" s="74">
        <v>9</v>
      </c>
      <c r="B32" s="75" t="s">
        <v>90</v>
      </c>
      <c r="C32" s="76">
        <v>48976298</v>
      </c>
      <c r="D32" s="76">
        <v>55355948</v>
      </c>
      <c r="E32" s="76">
        <f t="shared" si="2"/>
        <v>6379650</v>
      </c>
      <c r="F32" s="77">
        <f t="shared" si="3"/>
        <v>0.13025994737291088</v>
      </c>
    </row>
    <row r="33" spans="1:6" ht="23.1" customHeight="1" x14ac:dyDescent="0.25">
      <c r="A33" s="71"/>
      <c r="B33" s="78" t="s">
        <v>91</v>
      </c>
      <c r="C33" s="79">
        <f>SUM(C24:C32)</f>
        <v>210952866</v>
      </c>
      <c r="D33" s="79">
        <f>SUM(D24:D32)</f>
        <v>233811154</v>
      </c>
      <c r="E33" s="79">
        <f t="shared" si="2"/>
        <v>22858288</v>
      </c>
      <c r="F33" s="80">
        <f t="shared" si="3"/>
        <v>0.10835732376349891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-11787175</v>
      </c>
      <c r="D35" s="79">
        <f>+D21-D33</f>
        <v>-20032554</v>
      </c>
      <c r="E35" s="79">
        <f>D35-C35</f>
        <v>-8245379</v>
      </c>
      <c r="F35" s="80">
        <f>IF(C35=0,0,E35/C35)</f>
        <v>0.6995212169158429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1788788</v>
      </c>
      <c r="D38" s="76">
        <v>1694711</v>
      </c>
      <c r="E38" s="76">
        <f>D38-C38</f>
        <v>-94077</v>
      </c>
      <c r="F38" s="77">
        <f>IF(C38=0,0,E38/C38)</f>
        <v>-5.2592593420796654E-2</v>
      </c>
    </row>
    <row r="39" spans="1:6" ht="23.1" customHeight="1" x14ac:dyDescent="0.2">
      <c r="A39" s="85">
        <v>2</v>
      </c>
      <c r="B39" s="75" t="s">
        <v>95</v>
      </c>
      <c r="C39" s="76">
        <v>669966</v>
      </c>
      <c r="D39" s="76">
        <v>1812867</v>
      </c>
      <c r="E39" s="76">
        <f>D39-C39</f>
        <v>1142901</v>
      </c>
      <c r="F39" s="77">
        <f>IF(C39=0,0,E39/C39)</f>
        <v>1.7059089565739156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2458754</v>
      </c>
      <c r="D41" s="79">
        <f>SUM(D38:D40)</f>
        <v>3507578</v>
      </c>
      <c r="E41" s="79">
        <f>D41-C41</f>
        <v>1048824</v>
      </c>
      <c r="F41" s="80">
        <f>IF(C41=0,0,E41/C41)</f>
        <v>0.42656727757229884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-9328421</v>
      </c>
      <c r="D43" s="79">
        <f>D35+D41</f>
        <v>-16524976</v>
      </c>
      <c r="E43" s="79">
        <f>D43-C43</f>
        <v>-7196555</v>
      </c>
      <c r="F43" s="80">
        <f>IF(C43=0,0,E43/C43)</f>
        <v>0.77146550311140549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-289566</v>
      </c>
      <c r="D46" s="76">
        <v>8198</v>
      </c>
      <c r="E46" s="76">
        <f>D46-C46</f>
        <v>297764</v>
      </c>
      <c r="F46" s="77">
        <f>IF(C46=0,0,E46/C46)</f>
        <v>-1.0283113348942901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-289566</v>
      </c>
      <c r="D48" s="79">
        <f>SUM(D46:D47)</f>
        <v>8198</v>
      </c>
      <c r="E48" s="79">
        <f>D48-C48</f>
        <v>297764</v>
      </c>
      <c r="F48" s="80">
        <f>IF(C48=0,0,E48/C48)</f>
        <v>-1.0283113348942901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-9617987</v>
      </c>
      <c r="D50" s="79">
        <f>D43+D48</f>
        <v>-16516778</v>
      </c>
      <c r="E50" s="79">
        <f>D50-C50</f>
        <v>-6898791</v>
      </c>
      <c r="F50" s="80">
        <f>IF(C50=0,0,E50/C50)</f>
        <v>0.71728013356641052</v>
      </c>
    </row>
    <row r="51" spans="1:6" ht="23.1" customHeight="1" x14ac:dyDescent="0.2">
      <c r="A51" s="85"/>
      <c r="B51" s="75" t="s">
        <v>104</v>
      </c>
      <c r="C51" s="76">
        <v>1131501</v>
      </c>
      <c r="D51" s="76">
        <v>27084414</v>
      </c>
      <c r="E51" s="76">
        <f>D51-C51</f>
        <v>25952913</v>
      </c>
      <c r="F51" s="77">
        <f>IF(C51=0,0,E51/C51)</f>
        <v>22.936712384699614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zoomScale="75" workbookViewId="0">
      <selection sqref="A1:F1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215740955</v>
      </c>
      <c r="D14" s="113">
        <v>206090571</v>
      </c>
      <c r="E14" s="113">
        <f t="shared" ref="E14:E25" si="0">D14-C14</f>
        <v>-9650384</v>
      </c>
      <c r="F14" s="114">
        <f t="shared" ref="F14:F25" si="1">IF(C14=0,0,E14/C14)</f>
        <v>-4.4731349223887509E-2</v>
      </c>
    </row>
    <row r="15" spans="1:6" x14ac:dyDescent="0.2">
      <c r="A15" s="115">
        <v>2</v>
      </c>
      <c r="B15" s="116" t="s">
        <v>114</v>
      </c>
      <c r="C15" s="113">
        <v>62559918</v>
      </c>
      <c r="D15" s="113">
        <v>66400241</v>
      </c>
      <c r="E15" s="113">
        <f t="shared" si="0"/>
        <v>3840323</v>
      </c>
      <c r="F15" s="114">
        <f t="shared" si="1"/>
        <v>6.1386317673881863E-2</v>
      </c>
    </row>
    <row r="16" spans="1:6" x14ac:dyDescent="0.2">
      <c r="A16" s="115">
        <v>3</v>
      </c>
      <c r="B16" s="116" t="s">
        <v>115</v>
      </c>
      <c r="C16" s="113">
        <v>104268326</v>
      </c>
      <c r="D16" s="113">
        <v>113625600</v>
      </c>
      <c r="E16" s="113">
        <f t="shared" si="0"/>
        <v>9357274</v>
      </c>
      <c r="F16" s="114">
        <f t="shared" si="1"/>
        <v>8.9742248283529558E-2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880448</v>
      </c>
      <c r="D18" s="113">
        <v>569925</v>
      </c>
      <c r="E18" s="113">
        <f t="shared" si="0"/>
        <v>-310523</v>
      </c>
      <c r="F18" s="114">
        <f t="shared" si="1"/>
        <v>-0.35268749545685835</v>
      </c>
    </row>
    <row r="19" spans="1:6" x14ac:dyDescent="0.2">
      <c r="A19" s="115">
        <v>6</v>
      </c>
      <c r="B19" s="116" t="s">
        <v>118</v>
      </c>
      <c r="C19" s="113">
        <v>49763946</v>
      </c>
      <c r="D19" s="113">
        <v>46660156</v>
      </c>
      <c r="E19" s="113">
        <f t="shared" si="0"/>
        <v>-3103790</v>
      </c>
      <c r="F19" s="114">
        <f t="shared" si="1"/>
        <v>-6.2370254963302146E-2</v>
      </c>
    </row>
    <row r="20" spans="1:6" x14ac:dyDescent="0.2">
      <c r="A20" s="115">
        <v>7</v>
      </c>
      <c r="B20" s="116" t="s">
        <v>119</v>
      </c>
      <c r="C20" s="113">
        <v>63405760</v>
      </c>
      <c r="D20" s="113">
        <v>61833357</v>
      </c>
      <c r="E20" s="113">
        <f t="shared" si="0"/>
        <v>-1572403</v>
      </c>
      <c r="F20" s="114">
        <f t="shared" si="1"/>
        <v>-2.4799056110990546E-2</v>
      </c>
    </row>
    <row r="21" spans="1:6" x14ac:dyDescent="0.2">
      <c r="A21" s="115">
        <v>8</v>
      </c>
      <c r="B21" s="116" t="s">
        <v>120</v>
      </c>
      <c r="C21" s="113">
        <v>5970848</v>
      </c>
      <c r="D21" s="113">
        <v>7028883</v>
      </c>
      <c r="E21" s="113">
        <f t="shared" si="0"/>
        <v>1058035</v>
      </c>
      <c r="F21" s="114">
        <f t="shared" si="1"/>
        <v>0.17720012299760435</v>
      </c>
    </row>
    <row r="22" spans="1:6" x14ac:dyDescent="0.2">
      <c r="A22" s="115">
        <v>9</v>
      </c>
      <c r="B22" s="116" t="s">
        <v>121</v>
      </c>
      <c r="C22" s="113">
        <v>2869380</v>
      </c>
      <c r="D22" s="113">
        <v>3893002</v>
      </c>
      <c r="E22" s="113">
        <f t="shared" si="0"/>
        <v>1023622</v>
      </c>
      <c r="F22" s="114">
        <f t="shared" si="1"/>
        <v>0.35673978350723851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505459581</v>
      </c>
      <c r="D25" s="119">
        <f>SUM(D14:D24)</f>
        <v>506101735</v>
      </c>
      <c r="E25" s="119">
        <f t="shared" si="0"/>
        <v>642154</v>
      </c>
      <c r="F25" s="120">
        <f t="shared" si="1"/>
        <v>1.2704359045476279E-3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112236352</v>
      </c>
      <c r="D27" s="113">
        <v>113749935</v>
      </c>
      <c r="E27" s="113">
        <f t="shared" ref="E27:E38" si="2">D27-C27</f>
        <v>1513583</v>
      </c>
      <c r="F27" s="114">
        <f t="shared" ref="F27:F38" si="3">IF(C27=0,0,E27/C27)</f>
        <v>1.3485675300636999E-2</v>
      </c>
    </row>
    <row r="28" spans="1:6" x14ac:dyDescent="0.2">
      <c r="A28" s="115">
        <v>2</v>
      </c>
      <c r="B28" s="116" t="s">
        <v>114</v>
      </c>
      <c r="C28" s="113">
        <v>38026082</v>
      </c>
      <c r="D28" s="113">
        <v>38936519</v>
      </c>
      <c r="E28" s="113">
        <f t="shared" si="2"/>
        <v>910437</v>
      </c>
      <c r="F28" s="114">
        <f t="shared" si="3"/>
        <v>2.394243508968397E-2</v>
      </c>
    </row>
    <row r="29" spans="1:6" x14ac:dyDescent="0.2">
      <c r="A29" s="115">
        <v>3</v>
      </c>
      <c r="B29" s="116" t="s">
        <v>115</v>
      </c>
      <c r="C29" s="113">
        <v>99862668</v>
      </c>
      <c r="D29" s="113">
        <v>103742526</v>
      </c>
      <c r="E29" s="113">
        <f t="shared" si="2"/>
        <v>3879858</v>
      </c>
      <c r="F29" s="114">
        <f t="shared" si="3"/>
        <v>3.8851936140941075E-2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693299</v>
      </c>
      <c r="D31" s="113">
        <v>653514</v>
      </c>
      <c r="E31" s="113">
        <f t="shared" si="2"/>
        <v>-39785</v>
      </c>
      <c r="F31" s="114">
        <f t="shared" si="3"/>
        <v>-5.7385053202153757E-2</v>
      </c>
    </row>
    <row r="32" spans="1:6" x14ac:dyDescent="0.2">
      <c r="A32" s="115">
        <v>6</v>
      </c>
      <c r="B32" s="116" t="s">
        <v>118</v>
      </c>
      <c r="C32" s="113">
        <v>59751928</v>
      </c>
      <c r="D32" s="113">
        <v>61129748</v>
      </c>
      <c r="E32" s="113">
        <f t="shared" si="2"/>
        <v>1377820</v>
      </c>
      <c r="F32" s="114">
        <f t="shared" si="3"/>
        <v>2.3059004891022094E-2</v>
      </c>
    </row>
    <row r="33" spans="1:6" x14ac:dyDescent="0.2">
      <c r="A33" s="115">
        <v>7</v>
      </c>
      <c r="B33" s="116" t="s">
        <v>119</v>
      </c>
      <c r="C33" s="113">
        <v>85877841</v>
      </c>
      <c r="D33" s="113">
        <v>86500031</v>
      </c>
      <c r="E33" s="113">
        <f t="shared" si="2"/>
        <v>622190</v>
      </c>
      <c r="F33" s="114">
        <f t="shared" si="3"/>
        <v>7.2450587107796525E-3</v>
      </c>
    </row>
    <row r="34" spans="1:6" x14ac:dyDescent="0.2">
      <c r="A34" s="115">
        <v>8</v>
      </c>
      <c r="B34" s="116" t="s">
        <v>120</v>
      </c>
      <c r="C34" s="113">
        <v>8417810</v>
      </c>
      <c r="D34" s="113">
        <v>8490999</v>
      </c>
      <c r="E34" s="113">
        <f t="shared" si="2"/>
        <v>73189</v>
      </c>
      <c r="F34" s="114">
        <f t="shared" si="3"/>
        <v>8.69454169196026E-3</v>
      </c>
    </row>
    <row r="35" spans="1:6" x14ac:dyDescent="0.2">
      <c r="A35" s="115">
        <v>9</v>
      </c>
      <c r="B35" s="116" t="s">
        <v>121</v>
      </c>
      <c r="C35" s="113">
        <v>5932157</v>
      </c>
      <c r="D35" s="113">
        <v>7447832</v>
      </c>
      <c r="E35" s="113">
        <f t="shared" si="2"/>
        <v>1515675</v>
      </c>
      <c r="F35" s="114">
        <f t="shared" si="3"/>
        <v>0.25550149802171451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410798137</v>
      </c>
      <c r="D38" s="119">
        <f>SUM(D27:D37)</f>
        <v>420651104</v>
      </c>
      <c r="E38" s="119">
        <f t="shared" si="2"/>
        <v>9852967</v>
      </c>
      <c r="F38" s="120">
        <f t="shared" si="3"/>
        <v>2.3984935939473359E-2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327977307</v>
      </c>
      <c r="D41" s="119">
        <f t="shared" si="4"/>
        <v>319840506</v>
      </c>
      <c r="E41" s="123">
        <f t="shared" ref="E41:E52" si="5">D41-C41</f>
        <v>-8136801</v>
      </c>
      <c r="F41" s="124">
        <f t="shared" ref="F41:F52" si="6">IF(C41=0,0,E41/C41)</f>
        <v>-2.4809036559349518E-2</v>
      </c>
    </row>
    <row r="42" spans="1:6" ht="15.75" x14ac:dyDescent="0.25">
      <c r="A42" s="121">
        <v>2</v>
      </c>
      <c r="B42" s="122" t="s">
        <v>114</v>
      </c>
      <c r="C42" s="119">
        <f t="shared" si="4"/>
        <v>100586000</v>
      </c>
      <c r="D42" s="119">
        <f t="shared" si="4"/>
        <v>105336760</v>
      </c>
      <c r="E42" s="123">
        <f t="shared" si="5"/>
        <v>4750760</v>
      </c>
      <c r="F42" s="124">
        <f t="shared" si="6"/>
        <v>4.7230827351718928E-2</v>
      </c>
    </row>
    <row r="43" spans="1:6" ht="15.75" x14ac:dyDescent="0.25">
      <c r="A43" s="121">
        <v>3</v>
      </c>
      <c r="B43" s="122" t="s">
        <v>115</v>
      </c>
      <c r="C43" s="119">
        <f t="shared" si="4"/>
        <v>204130994</v>
      </c>
      <c r="D43" s="119">
        <f t="shared" si="4"/>
        <v>217368126</v>
      </c>
      <c r="E43" s="123">
        <f t="shared" si="5"/>
        <v>13237132</v>
      </c>
      <c r="F43" s="124">
        <f t="shared" si="6"/>
        <v>6.4846262395606619E-2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1573747</v>
      </c>
      <c r="D45" s="119">
        <f t="shared" si="4"/>
        <v>1223439</v>
      </c>
      <c r="E45" s="123">
        <f t="shared" si="5"/>
        <v>-350308</v>
      </c>
      <c r="F45" s="124">
        <f t="shared" si="6"/>
        <v>-0.22259486435875653</v>
      </c>
    </row>
    <row r="46" spans="1:6" ht="15.75" x14ac:dyDescent="0.25">
      <c r="A46" s="121">
        <v>6</v>
      </c>
      <c r="B46" s="122" t="s">
        <v>118</v>
      </c>
      <c r="C46" s="119">
        <f t="shared" si="4"/>
        <v>109515874</v>
      </c>
      <c r="D46" s="119">
        <f t="shared" si="4"/>
        <v>107789904</v>
      </c>
      <c r="E46" s="123">
        <f t="shared" si="5"/>
        <v>-1725970</v>
      </c>
      <c r="F46" s="124">
        <f t="shared" si="6"/>
        <v>-1.5759998408997767E-2</v>
      </c>
    </row>
    <row r="47" spans="1:6" ht="15.75" x14ac:dyDescent="0.25">
      <c r="A47" s="121">
        <v>7</v>
      </c>
      <c r="B47" s="122" t="s">
        <v>119</v>
      </c>
      <c r="C47" s="119">
        <f t="shared" si="4"/>
        <v>149283601</v>
      </c>
      <c r="D47" s="119">
        <f t="shared" si="4"/>
        <v>148333388</v>
      </c>
      <c r="E47" s="123">
        <f t="shared" si="5"/>
        <v>-950213</v>
      </c>
      <c r="F47" s="124">
        <f t="shared" si="6"/>
        <v>-6.365153262882505E-3</v>
      </c>
    </row>
    <row r="48" spans="1:6" ht="15.75" x14ac:dyDescent="0.25">
      <c r="A48" s="121">
        <v>8</v>
      </c>
      <c r="B48" s="122" t="s">
        <v>120</v>
      </c>
      <c r="C48" s="119">
        <f t="shared" si="4"/>
        <v>14388658</v>
      </c>
      <c r="D48" s="119">
        <f t="shared" si="4"/>
        <v>15519882</v>
      </c>
      <c r="E48" s="123">
        <f t="shared" si="5"/>
        <v>1131224</v>
      </c>
      <c r="F48" s="124">
        <f t="shared" si="6"/>
        <v>7.8619145718801575E-2</v>
      </c>
    </row>
    <row r="49" spans="1:6" ht="15.75" x14ac:dyDescent="0.25">
      <c r="A49" s="121">
        <v>9</v>
      </c>
      <c r="B49" s="122" t="s">
        <v>121</v>
      </c>
      <c r="C49" s="119">
        <f t="shared" si="4"/>
        <v>8801537</v>
      </c>
      <c r="D49" s="119">
        <f t="shared" si="4"/>
        <v>11340834</v>
      </c>
      <c r="E49" s="123">
        <f t="shared" si="5"/>
        <v>2539297</v>
      </c>
      <c r="F49" s="124">
        <f t="shared" si="6"/>
        <v>0.28850608706183933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916257718</v>
      </c>
      <c r="D52" s="128">
        <f>SUM(D41:D51)</f>
        <v>926752839</v>
      </c>
      <c r="E52" s="127">
        <f t="shared" si="5"/>
        <v>10495121</v>
      </c>
      <c r="F52" s="129">
        <f t="shared" si="6"/>
        <v>1.1454332982764572E-2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43294385</v>
      </c>
      <c r="D57" s="113">
        <v>53749561</v>
      </c>
      <c r="E57" s="113">
        <f t="shared" ref="E57:E68" si="7">D57-C57</f>
        <v>10455176</v>
      </c>
      <c r="F57" s="114">
        <f t="shared" ref="F57:F68" si="8">IF(C57=0,0,E57/C57)</f>
        <v>0.24149034568801475</v>
      </c>
    </row>
    <row r="58" spans="1:6" x14ac:dyDescent="0.2">
      <c r="A58" s="115">
        <v>2</v>
      </c>
      <c r="B58" s="116" t="s">
        <v>114</v>
      </c>
      <c r="C58" s="113">
        <v>13500923</v>
      </c>
      <c r="D58" s="113">
        <v>16232507</v>
      </c>
      <c r="E58" s="113">
        <f t="shared" si="7"/>
        <v>2731584</v>
      </c>
      <c r="F58" s="114">
        <f t="shared" si="8"/>
        <v>0.20232572247097477</v>
      </c>
    </row>
    <row r="59" spans="1:6" x14ac:dyDescent="0.2">
      <c r="A59" s="115">
        <v>3</v>
      </c>
      <c r="B59" s="116" t="s">
        <v>115</v>
      </c>
      <c r="C59" s="113">
        <v>21903510</v>
      </c>
      <c r="D59" s="113">
        <v>20681987</v>
      </c>
      <c r="E59" s="113">
        <f t="shared" si="7"/>
        <v>-1221523</v>
      </c>
      <c r="F59" s="114">
        <f t="shared" si="8"/>
        <v>-5.5768367718233285E-2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126256</v>
      </c>
      <c r="D61" s="113">
        <v>256075</v>
      </c>
      <c r="E61" s="113">
        <f t="shared" si="7"/>
        <v>129819</v>
      </c>
      <c r="F61" s="114">
        <f t="shared" si="8"/>
        <v>1.0282204410087441</v>
      </c>
    </row>
    <row r="62" spans="1:6" x14ac:dyDescent="0.2">
      <c r="A62" s="115">
        <v>6</v>
      </c>
      <c r="B62" s="116" t="s">
        <v>118</v>
      </c>
      <c r="C62" s="113">
        <v>33339163</v>
      </c>
      <c r="D62" s="113">
        <v>35672551</v>
      </c>
      <c r="E62" s="113">
        <f t="shared" si="7"/>
        <v>2333388</v>
      </c>
      <c r="F62" s="114">
        <f t="shared" si="8"/>
        <v>6.9989399553912021E-2</v>
      </c>
    </row>
    <row r="63" spans="1:6" x14ac:dyDescent="0.2">
      <c r="A63" s="115">
        <v>7</v>
      </c>
      <c r="B63" s="116" t="s">
        <v>119</v>
      </c>
      <c r="C63" s="113">
        <v>0</v>
      </c>
      <c r="D63" s="113">
        <v>0</v>
      </c>
      <c r="E63" s="113">
        <f t="shared" si="7"/>
        <v>0</v>
      </c>
      <c r="F63" s="114">
        <f t="shared" si="8"/>
        <v>0</v>
      </c>
    </row>
    <row r="64" spans="1:6" x14ac:dyDescent="0.2">
      <c r="A64" s="115">
        <v>8</v>
      </c>
      <c r="B64" s="116" t="s">
        <v>120</v>
      </c>
      <c r="C64" s="113">
        <v>3746182</v>
      </c>
      <c r="D64" s="113">
        <v>2916589</v>
      </c>
      <c r="E64" s="113">
        <f t="shared" si="7"/>
        <v>-829593</v>
      </c>
      <c r="F64" s="114">
        <f t="shared" si="8"/>
        <v>-0.22145026589738565</v>
      </c>
    </row>
    <row r="65" spans="1:6" x14ac:dyDescent="0.2">
      <c r="A65" s="115">
        <v>9</v>
      </c>
      <c r="B65" s="116" t="s">
        <v>121</v>
      </c>
      <c r="C65" s="113">
        <v>179431</v>
      </c>
      <c r="D65" s="113">
        <v>204420</v>
      </c>
      <c r="E65" s="113">
        <f t="shared" si="7"/>
        <v>24989</v>
      </c>
      <c r="F65" s="114">
        <f t="shared" si="8"/>
        <v>0.13926801946152004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116089850</v>
      </c>
      <c r="D68" s="119">
        <f>SUM(D57:D67)</f>
        <v>129713690</v>
      </c>
      <c r="E68" s="119">
        <f t="shared" si="7"/>
        <v>13623840</v>
      </c>
      <c r="F68" s="120">
        <f t="shared" si="8"/>
        <v>0.11735599623911996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19226909</v>
      </c>
      <c r="D70" s="113">
        <v>21280288</v>
      </c>
      <c r="E70" s="113">
        <f t="shared" ref="E70:E81" si="9">D70-C70</f>
        <v>2053379</v>
      </c>
      <c r="F70" s="114">
        <f t="shared" ref="F70:F81" si="10">IF(C70=0,0,E70/C70)</f>
        <v>0.10679714560463151</v>
      </c>
    </row>
    <row r="71" spans="1:6" x14ac:dyDescent="0.2">
      <c r="A71" s="115">
        <v>2</v>
      </c>
      <c r="B71" s="116" t="s">
        <v>114</v>
      </c>
      <c r="C71" s="113">
        <v>6437131</v>
      </c>
      <c r="D71" s="113">
        <v>5396277</v>
      </c>
      <c r="E71" s="113">
        <f t="shared" si="9"/>
        <v>-1040854</v>
      </c>
      <c r="F71" s="114">
        <f t="shared" si="10"/>
        <v>-0.16169532669134742</v>
      </c>
    </row>
    <row r="72" spans="1:6" x14ac:dyDescent="0.2">
      <c r="A72" s="115">
        <v>3</v>
      </c>
      <c r="B72" s="116" t="s">
        <v>115</v>
      </c>
      <c r="C72" s="113">
        <v>17436349</v>
      </c>
      <c r="D72" s="113">
        <v>18907742</v>
      </c>
      <c r="E72" s="113">
        <f t="shared" si="9"/>
        <v>1471393</v>
      </c>
      <c r="F72" s="114">
        <f t="shared" si="10"/>
        <v>8.4386530689423575E-2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128676</v>
      </c>
      <c r="D74" s="113">
        <v>218891</v>
      </c>
      <c r="E74" s="113">
        <f t="shared" si="9"/>
        <v>90215</v>
      </c>
      <c r="F74" s="114">
        <f t="shared" si="10"/>
        <v>0.70110199260157291</v>
      </c>
    </row>
    <row r="75" spans="1:6" x14ac:dyDescent="0.2">
      <c r="A75" s="115">
        <v>6</v>
      </c>
      <c r="B75" s="116" t="s">
        <v>118</v>
      </c>
      <c r="C75" s="113">
        <v>33201230</v>
      </c>
      <c r="D75" s="113">
        <v>31130355</v>
      </c>
      <c r="E75" s="113">
        <f t="shared" si="9"/>
        <v>-2070875</v>
      </c>
      <c r="F75" s="114">
        <f t="shared" si="10"/>
        <v>-6.2373442188738186E-2</v>
      </c>
    </row>
    <row r="76" spans="1:6" x14ac:dyDescent="0.2">
      <c r="A76" s="115">
        <v>7</v>
      </c>
      <c r="B76" s="116" t="s">
        <v>119</v>
      </c>
      <c r="C76" s="113">
        <v>0</v>
      </c>
      <c r="D76" s="113">
        <v>0</v>
      </c>
      <c r="E76" s="113">
        <f t="shared" si="9"/>
        <v>0</v>
      </c>
      <c r="F76" s="114">
        <f t="shared" si="10"/>
        <v>0</v>
      </c>
    </row>
    <row r="77" spans="1:6" x14ac:dyDescent="0.2">
      <c r="A77" s="115">
        <v>8</v>
      </c>
      <c r="B77" s="116" t="s">
        <v>120</v>
      </c>
      <c r="C77" s="113">
        <v>6662100</v>
      </c>
      <c r="D77" s="113">
        <v>2383760</v>
      </c>
      <c r="E77" s="113">
        <f t="shared" si="9"/>
        <v>-4278340</v>
      </c>
      <c r="F77" s="114">
        <f t="shared" si="10"/>
        <v>-0.64219090076702545</v>
      </c>
    </row>
    <row r="78" spans="1:6" x14ac:dyDescent="0.2">
      <c r="A78" s="115">
        <v>9</v>
      </c>
      <c r="B78" s="116" t="s">
        <v>121</v>
      </c>
      <c r="C78" s="113">
        <v>1216331</v>
      </c>
      <c r="D78" s="113">
        <v>3228369</v>
      </c>
      <c r="E78" s="113">
        <f t="shared" si="9"/>
        <v>2012038</v>
      </c>
      <c r="F78" s="114">
        <f t="shared" si="10"/>
        <v>1.6541862371344642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84308726</v>
      </c>
      <c r="D81" s="119">
        <f>SUM(D70:D80)</f>
        <v>82545682</v>
      </c>
      <c r="E81" s="119">
        <f t="shared" si="9"/>
        <v>-1763044</v>
      </c>
      <c r="F81" s="120">
        <f t="shared" si="10"/>
        <v>-2.0911761850131622E-2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62521294</v>
      </c>
      <c r="D84" s="119">
        <f t="shared" si="11"/>
        <v>75029849</v>
      </c>
      <c r="E84" s="119">
        <f t="shared" ref="E84:E95" si="12">D84-C84</f>
        <v>12508555</v>
      </c>
      <c r="F84" s="120">
        <f t="shared" ref="F84:F95" si="13">IF(C84=0,0,E84/C84)</f>
        <v>0.20006871578825608</v>
      </c>
    </row>
    <row r="85" spans="1:6" ht="15.75" x14ac:dyDescent="0.25">
      <c r="A85" s="130">
        <v>2</v>
      </c>
      <c r="B85" s="122" t="s">
        <v>114</v>
      </c>
      <c r="C85" s="119">
        <f t="shared" si="11"/>
        <v>19938054</v>
      </c>
      <c r="D85" s="119">
        <f t="shared" si="11"/>
        <v>21628784</v>
      </c>
      <c r="E85" s="119">
        <f t="shared" si="12"/>
        <v>1690730</v>
      </c>
      <c r="F85" s="120">
        <f t="shared" si="13"/>
        <v>8.4799148402346591E-2</v>
      </c>
    </row>
    <row r="86" spans="1:6" ht="15.75" x14ac:dyDescent="0.25">
      <c r="A86" s="130">
        <v>3</v>
      </c>
      <c r="B86" s="122" t="s">
        <v>115</v>
      </c>
      <c r="C86" s="119">
        <f t="shared" si="11"/>
        <v>39339859</v>
      </c>
      <c r="D86" s="119">
        <f t="shared" si="11"/>
        <v>39589729</v>
      </c>
      <c r="E86" s="119">
        <f t="shared" si="12"/>
        <v>249870</v>
      </c>
      <c r="F86" s="120">
        <f t="shared" si="13"/>
        <v>6.3515733495638606E-3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254932</v>
      </c>
      <c r="D88" s="119">
        <f t="shared" si="11"/>
        <v>474966</v>
      </c>
      <c r="E88" s="119">
        <f t="shared" si="12"/>
        <v>220034</v>
      </c>
      <c r="F88" s="120">
        <f t="shared" si="13"/>
        <v>0.86310859366419279</v>
      </c>
    </row>
    <row r="89" spans="1:6" ht="15.75" x14ac:dyDescent="0.25">
      <c r="A89" s="130">
        <v>6</v>
      </c>
      <c r="B89" s="122" t="s">
        <v>118</v>
      </c>
      <c r="C89" s="119">
        <f t="shared" si="11"/>
        <v>66540393</v>
      </c>
      <c r="D89" s="119">
        <f t="shared" si="11"/>
        <v>66802906</v>
      </c>
      <c r="E89" s="119">
        <f t="shared" si="12"/>
        <v>262513</v>
      </c>
      <c r="F89" s="120">
        <f t="shared" si="13"/>
        <v>3.9451675616042721E-3</v>
      </c>
    </row>
    <row r="90" spans="1:6" ht="15.75" x14ac:dyDescent="0.25">
      <c r="A90" s="130">
        <v>7</v>
      </c>
      <c r="B90" s="122" t="s">
        <v>119</v>
      </c>
      <c r="C90" s="119">
        <f t="shared" si="11"/>
        <v>0</v>
      </c>
      <c r="D90" s="119">
        <f t="shared" si="11"/>
        <v>0</v>
      </c>
      <c r="E90" s="119">
        <f t="shared" si="12"/>
        <v>0</v>
      </c>
      <c r="F90" s="120">
        <f t="shared" si="13"/>
        <v>0</v>
      </c>
    </row>
    <row r="91" spans="1:6" ht="15.75" x14ac:dyDescent="0.25">
      <c r="A91" s="130">
        <v>8</v>
      </c>
      <c r="B91" s="122" t="s">
        <v>120</v>
      </c>
      <c r="C91" s="119">
        <f t="shared" si="11"/>
        <v>10408282</v>
      </c>
      <c r="D91" s="119">
        <f t="shared" si="11"/>
        <v>5300349</v>
      </c>
      <c r="E91" s="119">
        <f t="shared" si="12"/>
        <v>-5107933</v>
      </c>
      <c r="F91" s="120">
        <f t="shared" si="13"/>
        <v>-0.49075659172186148</v>
      </c>
    </row>
    <row r="92" spans="1:6" ht="15.75" x14ac:dyDescent="0.25">
      <c r="A92" s="130">
        <v>9</v>
      </c>
      <c r="B92" s="122" t="s">
        <v>121</v>
      </c>
      <c r="C92" s="119">
        <f t="shared" si="11"/>
        <v>1395762</v>
      </c>
      <c r="D92" s="119">
        <f t="shared" si="11"/>
        <v>3432789</v>
      </c>
      <c r="E92" s="119">
        <f t="shared" si="12"/>
        <v>2037027</v>
      </c>
      <c r="F92" s="120">
        <f t="shared" si="13"/>
        <v>1.4594372106419289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200398576</v>
      </c>
      <c r="D95" s="128">
        <f>SUM(D84:D94)</f>
        <v>212259372</v>
      </c>
      <c r="E95" s="128">
        <f t="shared" si="12"/>
        <v>11860796</v>
      </c>
      <c r="F95" s="129">
        <f t="shared" si="13"/>
        <v>5.918602934583727E-2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4231</v>
      </c>
      <c r="D100" s="133">
        <v>4063</v>
      </c>
      <c r="E100" s="133">
        <f t="shared" ref="E100:E111" si="14">D100-C100</f>
        <v>-168</v>
      </c>
      <c r="F100" s="114">
        <f t="shared" ref="F100:F111" si="15">IF(C100=0,0,E100/C100)</f>
        <v>-3.970692507681399E-2</v>
      </c>
    </row>
    <row r="101" spans="1:6" x14ac:dyDescent="0.2">
      <c r="A101" s="115">
        <v>2</v>
      </c>
      <c r="B101" s="116" t="s">
        <v>114</v>
      </c>
      <c r="C101" s="133">
        <v>1172</v>
      </c>
      <c r="D101" s="133">
        <v>1225</v>
      </c>
      <c r="E101" s="133">
        <f t="shared" si="14"/>
        <v>53</v>
      </c>
      <c r="F101" s="114">
        <f t="shared" si="15"/>
        <v>4.5221843003412969E-2</v>
      </c>
    </row>
    <row r="102" spans="1:6" x14ac:dyDescent="0.2">
      <c r="A102" s="115">
        <v>3</v>
      </c>
      <c r="B102" s="116" t="s">
        <v>115</v>
      </c>
      <c r="C102" s="133">
        <v>3324</v>
      </c>
      <c r="D102" s="133">
        <v>3582</v>
      </c>
      <c r="E102" s="133">
        <f t="shared" si="14"/>
        <v>258</v>
      </c>
      <c r="F102" s="114">
        <f t="shared" si="15"/>
        <v>7.7617328519855602E-2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22</v>
      </c>
      <c r="D104" s="133">
        <v>23</v>
      </c>
      <c r="E104" s="133">
        <f t="shared" si="14"/>
        <v>1</v>
      </c>
      <c r="F104" s="114">
        <f t="shared" si="15"/>
        <v>4.5454545454545456E-2</v>
      </c>
    </row>
    <row r="105" spans="1:6" x14ac:dyDescent="0.2">
      <c r="A105" s="115">
        <v>6</v>
      </c>
      <c r="B105" s="116" t="s">
        <v>118</v>
      </c>
      <c r="C105" s="133">
        <v>2730</v>
      </c>
      <c r="D105" s="133">
        <v>2581</v>
      </c>
      <c r="E105" s="133">
        <f t="shared" si="14"/>
        <v>-149</v>
      </c>
      <c r="F105" s="114">
        <f t="shared" si="15"/>
        <v>-5.4578754578754579E-2</v>
      </c>
    </row>
    <row r="106" spans="1:6" x14ac:dyDescent="0.2">
      <c r="A106" s="115">
        <v>7</v>
      </c>
      <c r="B106" s="116" t="s">
        <v>119</v>
      </c>
      <c r="C106" s="133">
        <v>0</v>
      </c>
      <c r="D106" s="133">
        <v>0</v>
      </c>
      <c r="E106" s="133">
        <f t="shared" si="14"/>
        <v>0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66</v>
      </c>
      <c r="D107" s="133">
        <v>73</v>
      </c>
      <c r="E107" s="133">
        <f t="shared" si="14"/>
        <v>7</v>
      </c>
      <c r="F107" s="114">
        <f t="shared" si="15"/>
        <v>0.10606060606060606</v>
      </c>
    </row>
    <row r="108" spans="1:6" x14ac:dyDescent="0.2">
      <c r="A108" s="115">
        <v>9</v>
      </c>
      <c r="B108" s="116" t="s">
        <v>121</v>
      </c>
      <c r="C108" s="133">
        <v>101</v>
      </c>
      <c r="D108" s="133">
        <v>99</v>
      </c>
      <c r="E108" s="133">
        <f t="shared" si="14"/>
        <v>-2</v>
      </c>
      <c r="F108" s="114">
        <f t="shared" si="15"/>
        <v>-1.9801980198019802E-2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11646</v>
      </c>
      <c r="D111" s="134">
        <f>SUM(D100:D110)</f>
        <v>11646</v>
      </c>
      <c r="E111" s="134">
        <f t="shared" si="14"/>
        <v>0</v>
      </c>
      <c r="F111" s="120">
        <f t="shared" si="15"/>
        <v>0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23422</v>
      </c>
      <c r="D113" s="133">
        <v>20571</v>
      </c>
      <c r="E113" s="133">
        <f t="shared" ref="E113:E124" si="16">D113-C113</f>
        <v>-2851</v>
      </c>
      <c r="F113" s="114">
        <f t="shared" ref="F113:F124" si="17">IF(C113=0,0,E113/C113)</f>
        <v>-0.12172316625394927</v>
      </c>
    </row>
    <row r="114" spans="1:6" x14ac:dyDescent="0.2">
      <c r="A114" s="115">
        <v>2</v>
      </c>
      <c r="B114" s="116" t="s">
        <v>114</v>
      </c>
      <c r="C114" s="133">
        <v>5868</v>
      </c>
      <c r="D114" s="133">
        <v>5995</v>
      </c>
      <c r="E114" s="133">
        <f t="shared" si="16"/>
        <v>127</v>
      </c>
      <c r="F114" s="114">
        <f t="shared" si="17"/>
        <v>2.1642808452624403E-2</v>
      </c>
    </row>
    <row r="115" spans="1:6" x14ac:dyDescent="0.2">
      <c r="A115" s="115">
        <v>3</v>
      </c>
      <c r="B115" s="116" t="s">
        <v>115</v>
      </c>
      <c r="C115" s="133">
        <v>14685</v>
      </c>
      <c r="D115" s="133">
        <v>15884</v>
      </c>
      <c r="E115" s="133">
        <f t="shared" si="16"/>
        <v>1199</v>
      </c>
      <c r="F115" s="114">
        <f t="shared" si="17"/>
        <v>8.1647940074906361E-2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119</v>
      </c>
      <c r="D117" s="133">
        <v>65</v>
      </c>
      <c r="E117" s="133">
        <f t="shared" si="16"/>
        <v>-54</v>
      </c>
      <c r="F117" s="114">
        <f t="shared" si="17"/>
        <v>-0.45378151260504201</v>
      </c>
    </row>
    <row r="118" spans="1:6" x14ac:dyDescent="0.2">
      <c r="A118" s="115">
        <v>6</v>
      </c>
      <c r="B118" s="116" t="s">
        <v>118</v>
      </c>
      <c r="C118" s="133">
        <v>10802</v>
      </c>
      <c r="D118" s="133">
        <v>9415</v>
      </c>
      <c r="E118" s="133">
        <f t="shared" si="16"/>
        <v>-1387</v>
      </c>
      <c r="F118" s="114">
        <f t="shared" si="17"/>
        <v>-0.12840214775041658</v>
      </c>
    </row>
    <row r="119" spans="1:6" x14ac:dyDescent="0.2">
      <c r="A119" s="115">
        <v>7</v>
      </c>
      <c r="B119" s="116" t="s">
        <v>119</v>
      </c>
      <c r="C119" s="133">
        <v>0</v>
      </c>
      <c r="D119" s="133">
        <v>0</v>
      </c>
      <c r="E119" s="133">
        <f t="shared" si="16"/>
        <v>0</v>
      </c>
      <c r="F119" s="114">
        <f t="shared" si="17"/>
        <v>0</v>
      </c>
    </row>
    <row r="120" spans="1:6" x14ac:dyDescent="0.2">
      <c r="A120" s="115">
        <v>8</v>
      </c>
      <c r="B120" s="116" t="s">
        <v>120</v>
      </c>
      <c r="C120" s="133">
        <v>180</v>
      </c>
      <c r="D120" s="133">
        <v>252</v>
      </c>
      <c r="E120" s="133">
        <f t="shared" si="16"/>
        <v>72</v>
      </c>
      <c r="F120" s="114">
        <f t="shared" si="17"/>
        <v>0.4</v>
      </c>
    </row>
    <row r="121" spans="1:6" x14ac:dyDescent="0.2">
      <c r="A121" s="115">
        <v>9</v>
      </c>
      <c r="B121" s="116" t="s">
        <v>121</v>
      </c>
      <c r="C121" s="133">
        <v>314</v>
      </c>
      <c r="D121" s="133">
        <v>404</v>
      </c>
      <c r="E121" s="133">
        <f t="shared" si="16"/>
        <v>90</v>
      </c>
      <c r="F121" s="114">
        <f t="shared" si="17"/>
        <v>0.28662420382165604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55390</v>
      </c>
      <c r="D124" s="134">
        <f>SUM(D113:D123)</f>
        <v>52586</v>
      </c>
      <c r="E124" s="134">
        <f t="shared" si="16"/>
        <v>-2804</v>
      </c>
      <c r="F124" s="120">
        <f t="shared" si="17"/>
        <v>-5.0622856111211409E-2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45711</v>
      </c>
      <c r="D126" s="133">
        <v>42989</v>
      </c>
      <c r="E126" s="133">
        <f t="shared" ref="E126:E137" si="18">D126-C126</f>
        <v>-2722</v>
      </c>
      <c r="F126" s="114">
        <f t="shared" ref="F126:F137" si="19">IF(C126=0,0,E126/C126)</f>
        <v>-5.9548030014657305E-2</v>
      </c>
    </row>
    <row r="127" spans="1:6" x14ac:dyDescent="0.2">
      <c r="A127" s="115">
        <v>2</v>
      </c>
      <c r="B127" s="116" t="s">
        <v>114</v>
      </c>
      <c r="C127" s="133">
        <v>15227</v>
      </c>
      <c r="D127" s="133">
        <v>14413</v>
      </c>
      <c r="E127" s="133">
        <f t="shared" si="18"/>
        <v>-814</v>
      </c>
      <c r="F127" s="114">
        <f t="shared" si="19"/>
        <v>-5.3457673868785707E-2</v>
      </c>
    </row>
    <row r="128" spans="1:6" x14ac:dyDescent="0.2">
      <c r="A128" s="115">
        <v>3</v>
      </c>
      <c r="B128" s="116" t="s">
        <v>115</v>
      </c>
      <c r="C128" s="133">
        <v>43529</v>
      </c>
      <c r="D128" s="133">
        <v>41429</v>
      </c>
      <c r="E128" s="133">
        <f t="shared" si="18"/>
        <v>-2100</v>
      </c>
      <c r="F128" s="114">
        <f t="shared" si="19"/>
        <v>-4.8243699602563805E-2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287</v>
      </c>
      <c r="D130" s="133">
        <v>215</v>
      </c>
      <c r="E130" s="133">
        <f t="shared" si="18"/>
        <v>-72</v>
      </c>
      <c r="F130" s="114">
        <f t="shared" si="19"/>
        <v>-0.25087108013937282</v>
      </c>
    </row>
    <row r="131" spans="1:6" x14ac:dyDescent="0.2">
      <c r="A131" s="115">
        <v>6</v>
      </c>
      <c r="B131" s="116" t="s">
        <v>118</v>
      </c>
      <c r="C131" s="133">
        <v>21350</v>
      </c>
      <c r="D131" s="133">
        <v>21114</v>
      </c>
      <c r="E131" s="133">
        <f t="shared" si="18"/>
        <v>-236</v>
      </c>
      <c r="F131" s="114">
        <f t="shared" si="19"/>
        <v>-1.1053864168618267E-2</v>
      </c>
    </row>
    <row r="132" spans="1:6" x14ac:dyDescent="0.2">
      <c r="A132" s="115">
        <v>7</v>
      </c>
      <c r="B132" s="116" t="s">
        <v>119</v>
      </c>
      <c r="C132" s="133">
        <v>30904</v>
      </c>
      <c r="D132" s="133">
        <v>28144</v>
      </c>
      <c r="E132" s="133">
        <f t="shared" si="18"/>
        <v>-2760</v>
      </c>
      <c r="F132" s="114">
        <f t="shared" si="19"/>
        <v>-8.9308827336267146E-2</v>
      </c>
    </row>
    <row r="133" spans="1:6" x14ac:dyDescent="0.2">
      <c r="A133" s="115">
        <v>8</v>
      </c>
      <c r="B133" s="116" t="s">
        <v>120</v>
      </c>
      <c r="C133" s="133">
        <v>1184</v>
      </c>
      <c r="D133" s="133">
        <v>1033</v>
      </c>
      <c r="E133" s="133">
        <f t="shared" si="18"/>
        <v>-151</v>
      </c>
      <c r="F133" s="114">
        <f t="shared" si="19"/>
        <v>-0.12753378378378377</v>
      </c>
    </row>
    <row r="134" spans="1:6" x14ac:dyDescent="0.2">
      <c r="A134" s="115">
        <v>9</v>
      </c>
      <c r="B134" s="116" t="s">
        <v>121</v>
      </c>
      <c r="C134" s="133">
        <v>4052</v>
      </c>
      <c r="D134" s="133">
        <v>4107</v>
      </c>
      <c r="E134" s="133">
        <f t="shared" si="18"/>
        <v>55</v>
      </c>
      <c r="F134" s="114">
        <f t="shared" si="19"/>
        <v>1.3573543928923988E-2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162244</v>
      </c>
      <c r="D137" s="134">
        <f>SUM(D126:D136)</f>
        <v>153444</v>
      </c>
      <c r="E137" s="134">
        <f t="shared" si="18"/>
        <v>-8800</v>
      </c>
      <c r="F137" s="120">
        <f t="shared" si="19"/>
        <v>-5.4239293903010279E-2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25998849</v>
      </c>
      <c r="D142" s="113">
        <v>28510846</v>
      </c>
      <c r="E142" s="113">
        <f t="shared" ref="E142:E153" si="20">D142-C142</f>
        <v>2511997</v>
      </c>
      <c r="F142" s="114">
        <f t="shared" ref="F142:F153" si="21">IF(C142=0,0,E142/C142)</f>
        <v>9.6619546503770221E-2</v>
      </c>
    </row>
    <row r="143" spans="1:6" x14ac:dyDescent="0.2">
      <c r="A143" s="115">
        <v>2</v>
      </c>
      <c r="B143" s="116" t="s">
        <v>114</v>
      </c>
      <c r="C143" s="113">
        <v>8691426</v>
      </c>
      <c r="D143" s="113">
        <v>9964485</v>
      </c>
      <c r="E143" s="113">
        <f t="shared" si="20"/>
        <v>1273059</v>
      </c>
      <c r="F143" s="114">
        <f t="shared" si="21"/>
        <v>0.14647297232928175</v>
      </c>
    </row>
    <row r="144" spans="1:6" x14ac:dyDescent="0.2">
      <c r="A144" s="115">
        <v>3</v>
      </c>
      <c r="B144" s="116" t="s">
        <v>115</v>
      </c>
      <c r="C144" s="113">
        <v>45185452</v>
      </c>
      <c r="D144" s="113">
        <v>49717931</v>
      </c>
      <c r="E144" s="113">
        <f t="shared" si="20"/>
        <v>4532479</v>
      </c>
      <c r="F144" s="114">
        <f t="shared" si="21"/>
        <v>0.10030836916271192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0</v>
      </c>
      <c r="D146" s="113">
        <v>0</v>
      </c>
      <c r="E146" s="113">
        <f t="shared" si="20"/>
        <v>0</v>
      </c>
      <c r="F146" s="114">
        <f t="shared" si="21"/>
        <v>0</v>
      </c>
    </row>
    <row r="147" spans="1:6" x14ac:dyDescent="0.2">
      <c r="A147" s="115">
        <v>6</v>
      </c>
      <c r="B147" s="116" t="s">
        <v>118</v>
      </c>
      <c r="C147" s="113">
        <v>12566804</v>
      </c>
      <c r="D147" s="113">
        <v>14004616</v>
      </c>
      <c r="E147" s="113">
        <f t="shared" si="20"/>
        <v>1437812</v>
      </c>
      <c r="F147" s="114">
        <f t="shared" si="21"/>
        <v>0.11441349765620598</v>
      </c>
    </row>
    <row r="148" spans="1:6" x14ac:dyDescent="0.2">
      <c r="A148" s="115">
        <v>7</v>
      </c>
      <c r="B148" s="116" t="s">
        <v>119</v>
      </c>
      <c r="C148" s="113">
        <v>14973064</v>
      </c>
      <c r="D148" s="113">
        <v>16285471</v>
      </c>
      <c r="E148" s="113">
        <f t="shared" si="20"/>
        <v>1312407</v>
      </c>
      <c r="F148" s="114">
        <f t="shared" si="21"/>
        <v>8.7651198178275339E-2</v>
      </c>
    </row>
    <row r="149" spans="1:6" x14ac:dyDescent="0.2">
      <c r="A149" s="115">
        <v>8</v>
      </c>
      <c r="B149" s="116" t="s">
        <v>120</v>
      </c>
      <c r="C149" s="113">
        <v>1068332</v>
      </c>
      <c r="D149" s="113">
        <v>1020142</v>
      </c>
      <c r="E149" s="113">
        <f t="shared" si="20"/>
        <v>-48190</v>
      </c>
      <c r="F149" s="114">
        <f t="shared" si="21"/>
        <v>-4.510770060243445E-2</v>
      </c>
    </row>
    <row r="150" spans="1:6" x14ac:dyDescent="0.2">
      <c r="A150" s="115">
        <v>9</v>
      </c>
      <c r="B150" s="116" t="s">
        <v>121</v>
      </c>
      <c r="C150" s="113">
        <v>4699133</v>
      </c>
      <c r="D150" s="113">
        <v>5846204</v>
      </c>
      <c r="E150" s="113">
        <f t="shared" si="20"/>
        <v>1147071</v>
      </c>
      <c r="F150" s="114">
        <f t="shared" si="21"/>
        <v>0.24410268873002744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113183060</v>
      </c>
      <c r="D153" s="119">
        <f>SUM(D142:D152)</f>
        <v>125349695</v>
      </c>
      <c r="E153" s="119">
        <f t="shared" si="20"/>
        <v>12166635</v>
      </c>
      <c r="F153" s="120">
        <f t="shared" si="21"/>
        <v>0.10749519406879439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5064977</v>
      </c>
      <c r="D155" s="113">
        <v>5578852</v>
      </c>
      <c r="E155" s="113">
        <f t="shared" ref="E155:E166" si="22">D155-C155</f>
        <v>513875</v>
      </c>
      <c r="F155" s="114">
        <f t="shared" ref="F155:F166" si="23">IF(C155=0,0,E155/C155)</f>
        <v>0.10145653178681759</v>
      </c>
    </row>
    <row r="156" spans="1:6" x14ac:dyDescent="0.2">
      <c r="A156" s="115">
        <v>2</v>
      </c>
      <c r="B156" s="116" t="s">
        <v>114</v>
      </c>
      <c r="C156" s="113">
        <v>1630579</v>
      </c>
      <c r="D156" s="113">
        <v>1918997</v>
      </c>
      <c r="E156" s="113">
        <f t="shared" si="22"/>
        <v>288418</v>
      </c>
      <c r="F156" s="114">
        <f t="shared" si="23"/>
        <v>0.17688072764337084</v>
      </c>
    </row>
    <row r="157" spans="1:6" x14ac:dyDescent="0.2">
      <c r="A157" s="115">
        <v>3</v>
      </c>
      <c r="B157" s="116" t="s">
        <v>115</v>
      </c>
      <c r="C157" s="113">
        <v>7640799</v>
      </c>
      <c r="D157" s="113">
        <v>8523375</v>
      </c>
      <c r="E157" s="113">
        <f t="shared" si="22"/>
        <v>882576</v>
      </c>
      <c r="F157" s="114">
        <f t="shared" si="23"/>
        <v>0.11550833885304404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0</v>
      </c>
      <c r="D159" s="113">
        <v>0</v>
      </c>
      <c r="E159" s="113">
        <f t="shared" si="22"/>
        <v>0</v>
      </c>
      <c r="F159" s="114">
        <f t="shared" si="23"/>
        <v>0</v>
      </c>
    </row>
    <row r="160" spans="1:6" x14ac:dyDescent="0.2">
      <c r="A160" s="115">
        <v>6</v>
      </c>
      <c r="B160" s="116" t="s">
        <v>118</v>
      </c>
      <c r="C160" s="113">
        <v>4122962</v>
      </c>
      <c r="D160" s="113">
        <v>3883909</v>
      </c>
      <c r="E160" s="113">
        <f t="shared" si="22"/>
        <v>-239053</v>
      </c>
      <c r="F160" s="114">
        <f t="shared" si="23"/>
        <v>-5.7980888497153257E-2</v>
      </c>
    </row>
    <row r="161" spans="1:6" x14ac:dyDescent="0.2">
      <c r="A161" s="115">
        <v>7</v>
      </c>
      <c r="B161" s="116" t="s">
        <v>119</v>
      </c>
      <c r="C161" s="113">
        <v>4177129</v>
      </c>
      <c r="D161" s="113">
        <v>4565768</v>
      </c>
      <c r="E161" s="113">
        <f t="shared" si="22"/>
        <v>388639</v>
      </c>
      <c r="F161" s="114">
        <f t="shared" si="23"/>
        <v>9.3039740932109108E-2</v>
      </c>
    </row>
    <row r="162" spans="1:6" x14ac:dyDescent="0.2">
      <c r="A162" s="115">
        <v>8</v>
      </c>
      <c r="B162" s="116" t="s">
        <v>120</v>
      </c>
      <c r="C162" s="113">
        <v>670705</v>
      </c>
      <c r="D162" s="113">
        <v>387269</v>
      </c>
      <c r="E162" s="113">
        <f t="shared" si="22"/>
        <v>-283436</v>
      </c>
      <c r="F162" s="114">
        <f t="shared" si="23"/>
        <v>-0.4225941360210525</v>
      </c>
    </row>
    <row r="163" spans="1:6" x14ac:dyDescent="0.2">
      <c r="A163" s="115">
        <v>9</v>
      </c>
      <c r="B163" s="116" t="s">
        <v>121</v>
      </c>
      <c r="C163" s="113">
        <v>206918</v>
      </c>
      <c r="D163" s="113">
        <v>81294</v>
      </c>
      <c r="E163" s="113">
        <f t="shared" si="22"/>
        <v>-125624</v>
      </c>
      <c r="F163" s="114">
        <f t="shared" si="23"/>
        <v>-0.60711972858813634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23514069</v>
      </c>
      <c r="D166" s="119">
        <f>SUM(D155:D165)</f>
        <v>24939464</v>
      </c>
      <c r="E166" s="119">
        <f t="shared" si="22"/>
        <v>1425395</v>
      </c>
      <c r="F166" s="120">
        <f t="shared" si="23"/>
        <v>6.0618815059188605E-2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6767</v>
      </c>
      <c r="D168" s="133">
        <v>6367</v>
      </c>
      <c r="E168" s="133">
        <f t="shared" ref="E168:E179" si="24">D168-C168</f>
        <v>-400</v>
      </c>
      <c r="F168" s="114">
        <f t="shared" ref="F168:F179" si="25">IF(C168=0,0,E168/C168)</f>
        <v>-5.9110388650805382E-2</v>
      </c>
    </row>
    <row r="169" spans="1:6" x14ac:dyDescent="0.2">
      <c r="A169" s="115">
        <v>2</v>
      </c>
      <c r="B169" s="116" t="s">
        <v>114</v>
      </c>
      <c r="C169" s="133">
        <v>2186</v>
      </c>
      <c r="D169" s="133">
        <v>2124</v>
      </c>
      <c r="E169" s="133">
        <f t="shared" si="24"/>
        <v>-62</v>
      </c>
      <c r="F169" s="114">
        <f t="shared" si="25"/>
        <v>-2.8362305580969808E-2</v>
      </c>
    </row>
    <row r="170" spans="1:6" x14ac:dyDescent="0.2">
      <c r="A170" s="115">
        <v>3</v>
      </c>
      <c r="B170" s="116" t="s">
        <v>115</v>
      </c>
      <c r="C170" s="133">
        <v>20667</v>
      </c>
      <c r="D170" s="133">
        <v>18863</v>
      </c>
      <c r="E170" s="133">
        <f t="shared" si="24"/>
        <v>-1804</v>
      </c>
      <c r="F170" s="114">
        <f t="shared" si="25"/>
        <v>-8.728891469492428E-2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0</v>
      </c>
      <c r="D172" s="133">
        <v>0</v>
      </c>
      <c r="E172" s="133">
        <f t="shared" si="24"/>
        <v>0</v>
      </c>
      <c r="F172" s="114">
        <f t="shared" si="25"/>
        <v>0</v>
      </c>
    </row>
    <row r="173" spans="1:6" x14ac:dyDescent="0.2">
      <c r="A173" s="115">
        <v>6</v>
      </c>
      <c r="B173" s="116" t="s">
        <v>118</v>
      </c>
      <c r="C173" s="133">
        <v>4542</v>
      </c>
      <c r="D173" s="133">
        <v>4204</v>
      </c>
      <c r="E173" s="133">
        <f t="shared" si="24"/>
        <v>-338</v>
      </c>
      <c r="F173" s="114">
        <f t="shared" si="25"/>
        <v>-7.4416556583003085E-2</v>
      </c>
    </row>
    <row r="174" spans="1:6" x14ac:dyDescent="0.2">
      <c r="A174" s="115">
        <v>7</v>
      </c>
      <c r="B174" s="116" t="s">
        <v>119</v>
      </c>
      <c r="C174" s="133">
        <v>5081</v>
      </c>
      <c r="D174" s="133">
        <v>4712</v>
      </c>
      <c r="E174" s="133">
        <f t="shared" si="24"/>
        <v>-369</v>
      </c>
      <c r="F174" s="114">
        <f t="shared" si="25"/>
        <v>-7.2623499311159218E-2</v>
      </c>
    </row>
    <row r="175" spans="1:6" x14ac:dyDescent="0.2">
      <c r="A175" s="115">
        <v>8</v>
      </c>
      <c r="B175" s="116" t="s">
        <v>120</v>
      </c>
      <c r="C175" s="133">
        <v>642</v>
      </c>
      <c r="D175" s="133">
        <v>514</v>
      </c>
      <c r="E175" s="133">
        <f t="shared" si="24"/>
        <v>-128</v>
      </c>
      <c r="F175" s="114">
        <f t="shared" si="25"/>
        <v>-0.19937694704049844</v>
      </c>
    </row>
    <row r="176" spans="1:6" x14ac:dyDescent="0.2">
      <c r="A176" s="115">
        <v>9</v>
      </c>
      <c r="B176" s="116" t="s">
        <v>121</v>
      </c>
      <c r="C176" s="133">
        <v>2688</v>
      </c>
      <c r="D176" s="133">
        <v>2572</v>
      </c>
      <c r="E176" s="133">
        <f t="shared" si="24"/>
        <v>-116</v>
      </c>
      <c r="F176" s="114">
        <f t="shared" si="25"/>
        <v>-4.3154761904761904E-2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42573</v>
      </c>
      <c r="D179" s="134">
        <f>SUM(D168:D178)</f>
        <v>39356</v>
      </c>
      <c r="E179" s="134">
        <f t="shared" si="24"/>
        <v>-3217</v>
      </c>
      <c r="F179" s="120">
        <f t="shared" si="25"/>
        <v>-7.5564324806802433E-2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abSelected="1" topLeftCell="B1" zoomScale="75" workbookViewId="0">
      <selection sqref="A1:F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31988923</v>
      </c>
      <c r="D15" s="157">
        <v>31304469</v>
      </c>
      <c r="E15" s="157">
        <f>+D15-C15</f>
        <v>-684454</v>
      </c>
      <c r="F15" s="161">
        <f>IF(C15=0,0,E15/C15)</f>
        <v>-2.139659406476423E-2</v>
      </c>
    </row>
    <row r="16" spans="1:6" ht="15" customHeight="1" x14ac:dyDescent="0.2">
      <c r="A16" s="147">
        <v>2</v>
      </c>
      <c r="B16" s="160" t="s">
        <v>157</v>
      </c>
      <c r="C16" s="157">
        <v>5125182</v>
      </c>
      <c r="D16" s="157">
        <v>5722017</v>
      </c>
      <c r="E16" s="157">
        <f>+D16-C16</f>
        <v>596835</v>
      </c>
      <c r="F16" s="161">
        <f>IF(C16=0,0,E16/C16)</f>
        <v>0.11645147430861967</v>
      </c>
    </row>
    <row r="17" spans="1:6" ht="15" customHeight="1" x14ac:dyDescent="0.2">
      <c r="A17" s="147">
        <v>3</v>
      </c>
      <c r="B17" s="160" t="s">
        <v>158</v>
      </c>
      <c r="C17" s="157">
        <v>43729677</v>
      </c>
      <c r="D17" s="157">
        <v>44834099</v>
      </c>
      <c r="E17" s="157">
        <f>+D17-C17</f>
        <v>1104422</v>
      </c>
      <c r="F17" s="161">
        <f>IF(C17=0,0,E17/C17)</f>
        <v>2.5255663333621239E-2</v>
      </c>
    </row>
    <row r="18" spans="1:6" ht="15.75" customHeight="1" x14ac:dyDescent="0.25">
      <c r="A18" s="147"/>
      <c r="B18" s="162" t="s">
        <v>159</v>
      </c>
      <c r="C18" s="158">
        <f>SUM(C15:C17)</f>
        <v>80843782</v>
      </c>
      <c r="D18" s="158">
        <f>SUM(D15:D17)</f>
        <v>81860585</v>
      </c>
      <c r="E18" s="158">
        <f>+D18-C18</f>
        <v>1016803</v>
      </c>
      <c r="F18" s="159">
        <f>IF(C18=0,0,E18/C18)</f>
        <v>1.2577380410035741E-2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10356276</v>
      </c>
      <c r="D21" s="157">
        <v>37740754</v>
      </c>
      <c r="E21" s="157">
        <f>+D21-C21</f>
        <v>27384478</v>
      </c>
      <c r="F21" s="161">
        <f>IF(C21=0,0,E21/C21)</f>
        <v>2.6442398792770683</v>
      </c>
    </row>
    <row r="22" spans="1:6" ht="15" customHeight="1" x14ac:dyDescent="0.2">
      <c r="A22" s="147">
        <v>2</v>
      </c>
      <c r="B22" s="160" t="s">
        <v>162</v>
      </c>
      <c r="C22" s="157">
        <v>1659256</v>
      </c>
      <c r="D22" s="157">
        <v>1725637</v>
      </c>
      <c r="E22" s="157">
        <f>+D22-C22</f>
        <v>66381</v>
      </c>
      <c r="F22" s="161">
        <f>IF(C22=0,0,E22/C22)</f>
        <v>4.000648483416664E-2</v>
      </c>
    </row>
    <row r="23" spans="1:6" ht="15" customHeight="1" x14ac:dyDescent="0.2">
      <c r="A23" s="147">
        <v>3</v>
      </c>
      <c r="B23" s="160" t="s">
        <v>163</v>
      </c>
      <c r="C23" s="157">
        <v>14157295</v>
      </c>
      <c r="D23" s="157">
        <v>13520999</v>
      </c>
      <c r="E23" s="157">
        <f>+D23-C23</f>
        <v>-636296</v>
      </c>
      <c r="F23" s="161">
        <f>IF(C23=0,0,E23/C23)</f>
        <v>-4.4944744034789132E-2</v>
      </c>
    </row>
    <row r="24" spans="1:6" ht="15.75" customHeight="1" x14ac:dyDescent="0.25">
      <c r="A24" s="147"/>
      <c r="B24" s="162" t="s">
        <v>164</v>
      </c>
      <c r="C24" s="158">
        <f>SUM(C21:C23)</f>
        <v>26172827</v>
      </c>
      <c r="D24" s="158">
        <f>SUM(D21:D23)</f>
        <v>52987390</v>
      </c>
      <c r="E24" s="158">
        <f>+D24-C24</f>
        <v>26814563</v>
      </c>
      <c r="F24" s="159">
        <f>IF(C24=0,0,E24/C24)</f>
        <v>1.0245191702065657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786335</v>
      </c>
      <c r="D27" s="157">
        <v>2312834</v>
      </c>
      <c r="E27" s="157">
        <f>+D27-C27</f>
        <v>1526499</v>
      </c>
      <c r="F27" s="161">
        <f>IF(C27=0,0,E27/C27)</f>
        <v>1.9412832952876318</v>
      </c>
    </row>
    <row r="28" spans="1:6" ht="15" customHeight="1" x14ac:dyDescent="0.2">
      <c r="A28" s="147">
        <v>2</v>
      </c>
      <c r="B28" s="160" t="s">
        <v>167</v>
      </c>
      <c r="C28" s="157">
        <v>11845274</v>
      </c>
      <c r="D28" s="157">
        <v>9989162</v>
      </c>
      <c r="E28" s="157">
        <f>+D28-C28</f>
        <v>-1856112</v>
      </c>
      <c r="F28" s="161">
        <f>IF(C28=0,0,E28/C28)</f>
        <v>-0.15669641749106014</v>
      </c>
    </row>
    <row r="29" spans="1:6" ht="15" customHeight="1" x14ac:dyDescent="0.2">
      <c r="A29" s="147">
        <v>3</v>
      </c>
      <c r="B29" s="160" t="s">
        <v>168</v>
      </c>
      <c r="C29" s="157">
        <v>677513</v>
      </c>
      <c r="D29" s="157">
        <v>1088718</v>
      </c>
      <c r="E29" s="157">
        <f>+D29-C29</f>
        <v>411205</v>
      </c>
      <c r="F29" s="161">
        <f>IF(C29=0,0,E29/C29)</f>
        <v>0.60693300349956381</v>
      </c>
    </row>
    <row r="30" spans="1:6" ht="15.75" customHeight="1" x14ac:dyDescent="0.25">
      <c r="A30" s="147"/>
      <c r="B30" s="162" t="s">
        <v>169</v>
      </c>
      <c r="C30" s="158">
        <f>SUM(C27:C29)</f>
        <v>13309122</v>
      </c>
      <c r="D30" s="158">
        <f>SUM(D27:D29)</f>
        <v>13390714</v>
      </c>
      <c r="E30" s="158">
        <f>+D30-C30</f>
        <v>81592</v>
      </c>
      <c r="F30" s="159">
        <f>IF(C30=0,0,E30/C30)</f>
        <v>6.1305321267623811E-3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21211568</v>
      </c>
      <c r="D33" s="157">
        <v>23288879</v>
      </c>
      <c r="E33" s="157">
        <f>+D33-C33</f>
        <v>2077311</v>
      </c>
      <c r="F33" s="161">
        <f>IF(C33=0,0,E33/C33)</f>
        <v>9.7932929805095034E-2</v>
      </c>
    </row>
    <row r="34" spans="1:6" ht="15" customHeight="1" x14ac:dyDescent="0.2">
      <c r="A34" s="147">
        <v>2</v>
      </c>
      <c r="B34" s="160" t="s">
        <v>173</v>
      </c>
      <c r="C34" s="157">
        <v>7624627</v>
      </c>
      <c r="D34" s="157">
        <v>7524010</v>
      </c>
      <c r="E34" s="157">
        <f>+D34-C34</f>
        <v>-100617</v>
      </c>
      <c r="F34" s="161">
        <f>IF(C34=0,0,E34/C34)</f>
        <v>-1.3196317669047941E-2</v>
      </c>
    </row>
    <row r="35" spans="1:6" ht="15.75" customHeight="1" x14ac:dyDescent="0.25">
      <c r="A35" s="147"/>
      <c r="B35" s="162" t="s">
        <v>174</v>
      </c>
      <c r="C35" s="158">
        <f>SUM(C33:C34)</f>
        <v>28836195</v>
      </c>
      <c r="D35" s="158">
        <f>SUM(D33:D34)</f>
        <v>30812889</v>
      </c>
      <c r="E35" s="158">
        <f>+D35-C35</f>
        <v>1976694</v>
      </c>
      <c r="F35" s="159">
        <f>IF(C35=0,0,E35/C35)</f>
        <v>6.8549057876741371E-2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2326109</v>
      </c>
      <c r="D38" s="157">
        <v>1977697</v>
      </c>
      <c r="E38" s="157">
        <f>+D38-C38</f>
        <v>-348412</v>
      </c>
      <c r="F38" s="161">
        <f>IF(C38=0,0,E38/C38)</f>
        <v>-0.14978317869025054</v>
      </c>
    </row>
    <row r="39" spans="1:6" ht="15" customHeight="1" x14ac:dyDescent="0.2">
      <c r="A39" s="147">
        <v>2</v>
      </c>
      <c r="B39" s="160" t="s">
        <v>178</v>
      </c>
      <c r="C39" s="157">
        <v>4350719</v>
      </c>
      <c r="D39" s="157">
        <v>4057039</v>
      </c>
      <c r="E39" s="157">
        <f>+D39-C39</f>
        <v>-293680</v>
      </c>
      <c r="F39" s="161">
        <f>IF(C39=0,0,E39/C39)</f>
        <v>-6.7501486535903613E-2</v>
      </c>
    </row>
    <row r="40" spans="1:6" ht="15" customHeight="1" x14ac:dyDescent="0.2">
      <c r="A40" s="147">
        <v>3</v>
      </c>
      <c r="B40" s="160" t="s">
        <v>179</v>
      </c>
      <c r="C40" s="157">
        <v>135596</v>
      </c>
      <c r="D40" s="157">
        <v>405798</v>
      </c>
      <c r="E40" s="157">
        <f>+D40-C40</f>
        <v>270202</v>
      </c>
      <c r="F40" s="161">
        <f>IF(C40=0,0,E40/C40)</f>
        <v>1.9926988996725568</v>
      </c>
    </row>
    <row r="41" spans="1:6" ht="15.75" customHeight="1" x14ac:dyDescent="0.25">
      <c r="A41" s="147"/>
      <c r="B41" s="162" t="s">
        <v>180</v>
      </c>
      <c r="C41" s="158">
        <f>SUM(C38:C40)</f>
        <v>6812424</v>
      </c>
      <c r="D41" s="158">
        <f>SUM(D38:D40)</f>
        <v>6440534</v>
      </c>
      <c r="E41" s="158">
        <f>+D41-C41</f>
        <v>-371890</v>
      </c>
      <c r="F41" s="159">
        <f>IF(C41=0,0,E41/C41)</f>
        <v>-5.458996680183148E-2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1330630</v>
      </c>
      <c r="D47" s="157">
        <v>1399297</v>
      </c>
      <c r="E47" s="157">
        <f>+D47-C47</f>
        <v>68667</v>
      </c>
      <c r="F47" s="161">
        <f>IF(C47=0,0,E47/C47)</f>
        <v>5.1604878891953435E-2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6135436</v>
      </c>
      <c r="D50" s="157">
        <v>-5034651</v>
      </c>
      <c r="E50" s="157">
        <f>+D50-C50</f>
        <v>-11170087</v>
      </c>
      <c r="F50" s="161">
        <f>IF(C50=0,0,E50/C50)</f>
        <v>-1.8205856926875286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173077</v>
      </c>
      <c r="D53" s="157">
        <v>167397</v>
      </c>
      <c r="E53" s="157">
        <f t="shared" ref="E53:E59" si="0">+D53-C53</f>
        <v>-5680</v>
      </c>
      <c r="F53" s="161">
        <f t="shared" ref="F53:F59" si="1">IF(C53=0,0,E53/C53)</f>
        <v>-3.2817763192105248E-2</v>
      </c>
    </row>
    <row r="54" spans="1:6" ht="15" customHeight="1" x14ac:dyDescent="0.2">
      <c r="A54" s="147">
        <v>2</v>
      </c>
      <c r="B54" s="160" t="s">
        <v>189</v>
      </c>
      <c r="C54" s="157">
        <v>1161657</v>
      </c>
      <c r="D54" s="157">
        <v>1000888</v>
      </c>
      <c r="E54" s="157">
        <f t="shared" si="0"/>
        <v>-160769</v>
      </c>
      <c r="F54" s="161">
        <f t="shared" si="1"/>
        <v>-0.13839627359883339</v>
      </c>
    </row>
    <row r="55" spans="1:6" ht="15" customHeight="1" x14ac:dyDescent="0.2">
      <c r="A55" s="147">
        <v>3</v>
      </c>
      <c r="B55" s="160" t="s">
        <v>190</v>
      </c>
      <c r="C55" s="157">
        <v>-10066</v>
      </c>
      <c r="D55" s="157">
        <v>39717</v>
      </c>
      <c r="E55" s="157">
        <f t="shared" si="0"/>
        <v>49783</v>
      </c>
      <c r="F55" s="161">
        <f t="shared" si="1"/>
        <v>-4.9456586528909199</v>
      </c>
    </row>
    <row r="56" spans="1:6" ht="15" customHeight="1" x14ac:dyDescent="0.2">
      <c r="A56" s="147">
        <v>4</v>
      </c>
      <c r="B56" s="160" t="s">
        <v>191</v>
      </c>
      <c r="C56" s="157">
        <v>1925251</v>
      </c>
      <c r="D56" s="157">
        <v>1909817</v>
      </c>
      <c r="E56" s="157">
        <f t="shared" si="0"/>
        <v>-15434</v>
      </c>
      <c r="F56" s="161">
        <f t="shared" si="1"/>
        <v>-8.016617054088012E-3</v>
      </c>
    </row>
    <row r="57" spans="1:6" ht="15" customHeight="1" x14ac:dyDescent="0.2">
      <c r="A57" s="147">
        <v>5</v>
      </c>
      <c r="B57" s="160" t="s">
        <v>192</v>
      </c>
      <c r="C57" s="157">
        <v>241429</v>
      </c>
      <c r="D57" s="157">
        <v>277839</v>
      </c>
      <c r="E57" s="157">
        <f t="shared" si="0"/>
        <v>36410</v>
      </c>
      <c r="F57" s="161">
        <f t="shared" si="1"/>
        <v>0.15081038317683459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3491348</v>
      </c>
      <c r="D59" s="158">
        <f>SUM(D53:D58)</f>
        <v>3395658</v>
      </c>
      <c r="E59" s="158">
        <f t="shared" si="0"/>
        <v>-95690</v>
      </c>
      <c r="F59" s="159">
        <f t="shared" si="1"/>
        <v>-2.7407751962852171E-2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213198</v>
      </c>
      <c r="D62" s="157">
        <v>242575</v>
      </c>
      <c r="E62" s="157">
        <f t="shared" ref="E62:E90" si="2">+D62-C62</f>
        <v>29377</v>
      </c>
      <c r="F62" s="161">
        <f t="shared" ref="F62:F90" si="3">IF(C62=0,0,E62/C62)</f>
        <v>0.13779209936303344</v>
      </c>
    </row>
    <row r="63" spans="1:6" ht="15" customHeight="1" x14ac:dyDescent="0.2">
      <c r="A63" s="147">
        <v>2</v>
      </c>
      <c r="B63" s="160" t="s">
        <v>198</v>
      </c>
      <c r="C63" s="157">
        <v>2045976</v>
      </c>
      <c r="D63" s="157">
        <v>1804746</v>
      </c>
      <c r="E63" s="157">
        <f t="shared" si="2"/>
        <v>-241230</v>
      </c>
      <c r="F63" s="161">
        <f t="shared" si="3"/>
        <v>-0.11790460885171673</v>
      </c>
    </row>
    <row r="64" spans="1:6" ht="15" customHeight="1" x14ac:dyDescent="0.2">
      <c r="A64" s="147">
        <v>3</v>
      </c>
      <c r="B64" s="160" t="s">
        <v>199</v>
      </c>
      <c r="C64" s="157">
        <v>3229903</v>
      </c>
      <c r="D64" s="157">
        <v>2698613</v>
      </c>
      <c r="E64" s="157">
        <f t="shared" si="2"/>
        <v>-531290</v>
      </c>
      <c r="F64" s="161">
        <f t="shared" si="3"/>
        <v>-0.164491007934294</v>
      </c>
    </row>
    <row r="65" spans="1:6" ht="15" customHeight="1" x14ac:dyDescent="0.2">
      <c r="A65" s="147">
        <v>4</v>
      </c>
      <c r="B65" s="160" t="s">
        <v>200</v>
      </c>
      <c r="C65" s="157">
        <v>234649</v>
      </c>
      <c r="D65" s="157">
        <v>974976</v>
      </c>
      <c r="E65" s="157">
        <f t="shared" si="2"/>
        <v>740327</v>
      </c>
      <c r="F65" s="161">
        <f t="shared" si="3"/>
        <v>3.1550400811424724</v>
      </c>
    </row>
    <row r="66" spans="1:6" ht="15" customHeight="1" x14ac:dyDescent="0.2">
      <c r="A66" s="147">
        <v>5</v>
      </c>
      <c r="B66" s="160" t="s">
        <v>201</v>
      </c>
      <c r="C66" s="157">
        <v>2104334</v>
      </c>
      <c r="D66" s="157">
        <v>1690276</v>
      </c>
      <c r="E66" s="157">
        <f t="shared" si="2"/>
        <v>-414058</v>
      </c>
      <c r="F66" s="161">
        <f t="shared" si="3"/>
        <v>-0.19676439196439349</v>
      </c>
    </row>
    <row r="67" spans="1:6" ht="15" customHeight="1" x14ac:dyDescent="0.2">
      <c r="A67" s="147">
        <v>6</v>
      </c>
      <c r="B67" s="160" t="s">
        <v>202</v>
      </c>
      <c r="C67" s="157">
        <v>712454</v>
      </c>
      <c r="D67" s="157">
        <v>703475</v>
      </c>
      <c r="E67" s="157">
        <f t="shared" si="2"/>
        <v>-8979</v>
      </c>
      <c r="F67" s="161">
        <f t="shared" si="3"/>
        <v>-1.260291892529202E-2</v>
      </c>
    </row>
    <row r="68" spans="1:6" ht="15" customHeight="1" x14ac:dyDescent="0.2">
      <c r="A68" s="147">
        <v>7</v>
      </c>
      <c r="B68" s="160" t="s">
        <v>203</v>
      </c>
      <c r="C68" s="157">
        <v>3099068</v>
      </c>
      <c r="D68" s="157">
        <v>4960704</v>
      </c>
      <c r="E68" s="157">
        <f t="shared" si="2"/>
        <v>1861636</v>
      </c>
      <c r="F68" s="161">
        <f t="shared" si="3"/>
        <v>0.60070834199185041</v>
      </c>
    </row>
    <row r="69" spans="1:6" ht="15" customHeight="1" x14ac:dyDescent="0.2">
      <c r="A69" s="147">
        <v>8</v>
      </c>
      <c r="B69" s="160" t="s">
        <v>204</v>
      </c>
      <c r="C69" s="157">
        <v>398381</v>
      </c>
      <c r="D69" s="157">
        <v>582623</v>
      </c>
      <c r="E69" s="157">
        <f t="shared" si="2"/>
        <v>184242</v>
      </c>
      <c r="F69" s="161">
        <f t="shared" si="3"/>
        <v>0.46247687515217845</v>
      </c>
    </row>
    <row r="70" spans="1:6" ht="15" customHeight="1" x14ac:dyDescent="0.2">
      <c r="A70" s="147">
        <v>9</v>
      </c>
      <c r="B70" s="160" t="s">
        <v>205</v>
      </c>
      <c r="C70" s="157">
        <v>73963</v>
      </c>
      <c r="D70" s="157">
        <v>95180</v>
      </c>
      <c r="E70" s="157">
        <f t="shared" si="2"/>
        <v>21217</v>
      </c>
      <c r="F70" s="161">
        <f t="shared" si="3"/>
        <v>0.28685964603923586</v>
      </c>
    </row>
    <row r="71" spans="1:6" ht="15" customHeight="1" x14ac:dyDescent="0.2">
      <c r="A71" s="147">
        <v>10</v>
      </c>
      <c r="B71" s="160" t="s">
        <v>206</v>
      </c>
      <c r="C71" s="157">
        <v>93053</v>
      </c>
      <c r="D71" s="157">
        <v>111335</v>
      </c>
      <c r="E71" s="157">
        <f t="shared" si="2"/>
        <v>18282</v>
      </c>
      <c r="F71" s="161">
        <f t="shared" si="3"/>
        <v>0.19646867913984503</v>
      </c>
    </row>
    <row r="72" spans="1:6" ht="15" customHeight="1" x14ac:dyDescent="0.2">
      <c r="A72" s="147">
        <v>11</v>
      </c>
      <c r="B72" s="160" t="s">
        <v>207</v>
      </c>
      <c r="C72" s="157">
        <v>293305</v>
      </c>
      <c r="D72" s="157">
        <v>305675</v>
      </c>
      <c r="E72" s="157">
        <f t="shared" si="2"/>
        <v>12370</v>
      </c>
      <c r="F72" s="161">
        <f t="shared" si="3"/>
        <v>4.2174528221475938E-2</v>
      </c>
    </row>
    <row r="73" spans="1:6" ht="15" customHeight="1" x14ac:dyDescent="0.2">
      <c r="A73" s="147">
        <v>12</v>
      </c>
      <c r="B73" s="160" t="s">
        <v>208</v>
      </c>
      <c r="C73" s="157">
        <v>924593</v>
      </c>
      <c r="D73" s="157">
        <v>772342</v>
      </c>
      <c r="E73" s="157">
        <f t="shared" si="2"/>
        <v>-152251</v>
      </c>
      <c r="F73" s="161">
        <f t="shared" si="3"/>
        <v>-0.16466812965272287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453221</v>
      </c>
      <c r="D75" s="157">
        <v>527124</v>
      </c>
      <c r="E75" s="157">
        <f t="shared" si="2"/>
        <v>73903</v>
      </c>
      <c r="F75" s="161">
        <f t="shared" si="3"/>
        <v>0.16306172926673743</v>
      </c>
    </row>
    <row r="76" spans="1:6" ht="15" customHeight="1" x14ac:dyDescent="0.2">
      <c r="A76" s="147">
        <v>15</v>
      </c>
      <c r="B76" s="160" t="s">
        <v>211</v>
      </c>
      <c r="C76" s="157">
        <v>726420</v>
      </c>
      <c r="D76" s="157">
        <v>729732</v>
      </c>
      <c r="E76" s="157">
        <f t="shared" si="2"/>
        <v>3312</v>
      </c>
      <c r="F76" s="161">
        <f t="shared" si="3"/>
        <v>4.5593458329891796E-3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23735219</v>
      </c>
      <c r="D89" s="157">
        <v>22769564</v>
      </c>
      <c r="E89" s="157">
        <f t="shared" si="2"/>
        <v>-965655</v>
      </c>
      <c r="F89" s="161">
        <f t="shared" si="3"/>
        <v>-4.0684478200938443E-2</v>
      </c>
    </row>
    <row r="90" spans="1:6" ht="15.75" customHeight="1" x14ac:dyDescent="0.25">
      <c r="A90" s="147"/>
      <c r="B90" s="162" t="s">
        <v>225</v>
      </c>
      <c r="C90" s="158">
        <f>SUM(C62:C89)</f>
        <v>38337737</v>
      </c>
      <c r="D90" s="158">
        <f>SUM(D62:D89)</f>
        <v>38968940</v>
      </c>
      <c r="E90" s="158">
        <f t="shared" si="2"/>
        <v>631203</v>
      </c>
      <c r="F90" s="159">
        <f t="shared" si="3"/>
        <v>1.6464273830247206E-2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5683365</v>
      </c>
      <c r="D93" s="157">
        <v>9589798</v>
      </c>
      <c r="E93" s="157">
        <f>+D93-C93</f>
        <v>3906433</v>
      </c>
      <c r="F93" s="161">
        <f>IF(C93=0,0,E93/C93)</f>
        <v>0.68734508517401227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210952866</v>
      </c>
      <c r="D95" s="158">
        <f>+D93+D90+D59+D50+D47+D44+D41+D35+D30+D24+D18</f>
        <v>233811154</v>
      </c>
      <c r="E95" s="158">
        <f>+D95-C95</f>
        <v>22858288</v>
      </c>
      <c r="F95" s="159">
        <f>IF(C95=0,0,E95/C95)</f>
        <v>0.10835732376349891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14397967</v>
      </c>
      <c r="D103" s="157">
        <v>14185295</v>
      </c>
      <c r="E103" s="157">
        <f t="shared" ref="E103:E121" si="4">D103-C103</f>
        <v>-212672</v>
      </c>
      <c r="F103" s="161">
        <f t="shared" ref="F103:F121" si="5">IF(C103=0,0,E103/C103)</f>
        <v>-1.477097426324147E-2</v>
      </c>
    </row>
    <row r="104" spans="1:6" ht="15" customHeight="1" x14ac:dyDescent="0.2">
      <c r="A104" s="147">
        <v>2</v>
      </c>
      <c r="B104" s="169" t="s">
        <v>234</v>
      </c>
      <c r="C104" s="157">
        <v>1250267</v>
      </c>
      <c r="D104" s="157">
        <v>1437120</v>
      </c>
      <c r="E104" s="157">
        <f t="shared" si="4"/>
        <v>186853</v>
      </c>
      <c r="F104" s="161">
        <f t="shared" si="5"/>
        <v>0.14945047737803205</v>
      </c>
    </row>
    <row r="105" spans="1:6" ht="15" customHeight="1" x14ac:dyDescent="0.2">
      <c r="A105" s="147">
        <v>3</v>
      </c>
      <c r="B105" s="169" t="s">
        <v>235</v>
      </c>
      <c r="C105" s="157">
        <v>2219705</v>
      </c>
      <c r="D105" s="157">
        <v>2020834</v>
      </c>
      <c r="E105" s="157">
        <f t="shared" si="4"/>
        <v>-198871</v>
      </c>
      <c r="F105" s="161">
        <f t="shared" si="5"/>
        <v>-8.9593436965722917E-2</v>
      </c>
    </row>
    <row r="106" spans="1:6" ht="15" customHeight="1" x14ac:dyDescent="0.2">
      <c r="A106" s="147">
        <v>4</v>
      </c>
      <c r="B106" s="169" t="s">
        <v>236</v>
      </c>
      <c r="C106" s="157">
        <v>1220863</v>
      </c>
      <c r="D106" s="157">
        <v>1316256</v>
      </c>
      <c r="E106" s="157">
        <f t="shared" si="4"/>
        <v>95393</v>
      </c>
      <c r="F106" s="161">
        <f t="shared" si="5"/>
        <v>7.8135712197027835E-2</v>
      </c>
    </row>
    <row r="107" spans="1:6" ht="15" customHeight="1" x14ac:dyDescent="0.2">
      <c r="A107" s="147">
        <v>5</v>
      </c>
      <c r="B107" s="169" t="s">
        <v>237</v>
      </c>
      <c r="C107" s="157">
        <v>8539259</v>
      </c>
      <c r="D107" s="157">
        <v>8910800</v>
      </c>
      <c r="E107" s="157">
        <f t="shared" si="4"/>
        <v>371541</v>
      </c>
      <c r="F107" s="161">
        <f t="shared" si="5"/>
        <v>4.3509747157218205E-2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99472</v>
      </c>
      <c r="E108" s="157">
        <f t="shared" si="4"/>
        <v>99472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1206191</v>
      </c>
      <c r="D109" s="157">
        <v>1550730</v>
      </c>
      <c r="E109" s="157">
        <f t="shared" si="4"/>
        <v>344539</v>
      </c>
      <c r="F109" s="161">
        <f t="shared" si="5"/>
        <v>0.28564215783404123</v>
      </c>
    </row>
    <row r="110" spans="1:6" ht="15" customHeight="1" x14ac:dyDescent="0.2">
      <c r="A110" s="147">
        <v>8</v>
      </c>
      <c r="B110" s="169" t="s">
        <v>240</v>
      </c>
      <c r="C110" s="157">
        <v>755330</v>
      </c>
      <c r="D110" s="157">
        <v>796486</v>
      </c>
      <c r="E110" s="157">
        <f t="shared" si="4"/>
        <v>41156</v>
      </c>
      <c r="F110" s="161">
        <f t="shared" si="5"/>
        <v>5.4487442574768646E-2</v>
      </c>
    </row>
    <row r="111" spans="1:6" ht="15" customHeight="1" x14ac:dyDescent="0.2">
      <c r="A111" s="147">
        <v>9</v>
      </c>
      <c r="B111" s="169" t="s">
        <v>241</v>
      </c>
      <c r="C111" s="157">
        <v>1306539</v>
      </c>
      <c r="D111" s="157">
        <v>1176772</v>
      </c>
      <c r="E111" s="157">
        <f t="shared" si="4"/>
        <v>-129767</v>
      </c>
      <c r="F111" s="161">
        <f t="shared" si="5"/>
        <v>-9.932118367687455E-2</v>
      </c>
    </row>
    <row r="112" spans="1:6" ht="15" customHeight="1" x14ac:dyDescent="0.2">
      <c r="A112" s="147">
        <v>10</v>
      </c>
      <c r="B112" s="169" t="s">
        <v>242</v>
      </c>
      <c r="C112" s="157">
        <v>3750048</v>
      </c>
      <c r="D112" s="157">
        <v>3854674</v>
      </c>
      <c r="E112" s="157">
        <f t="shared" si="4"/>
        <v>104626</v>
      </c>
      <c r="F112" s="161">
        <f t="shared" si="5"/>
        <v>2.7899909547824453E-2</v>
      </c>
    </row>
    <row r="113" spans="1:6" ht="15" customHeight="1" x14ac:dyDescent="0.2">
      <c r="A113" s="147">
        <v>11</v>
      </c>
      <c r="B113" s="169" t="s">
        <v>243</v>
      </c>
      <c r="C113" s="157">
        <v>6230635</v>
      </c>
      <c r="D113" s="157">
        <v>6058016</v>
      </c>
      <c r="E113" s="157">
        <f t="shared" si="4"/>
        <v>-172619</v>
      </c>
      <c r="F113" s="161">
        <f t="shared" si="5"/>
        <v>-2.7704880802679022E-2</v>
      </c>
    </row>
    <row r="114" spans="1:6" ht="15" customHeight="1" x14ac:dyDescent="0.2">
      <c r="A114" s="147">
        <v>12</v>
      </c>
      <c r="B114" s="169" t="s">
        <v>244</v>
      </c>
      <c r="C114" s="157">
        <v>1047622</v>
      </c>
      <c r="D114" s="157">
        <v>840567</v>
      </c>
      <c r="E114" s="157">
        <f t="shared" si="4"/>
        <v>-207055</v>
      </c>
      <c r="F114" s="161">
        <f t="shared" si="5"/>
        <v>-0.1976428520974168</v>
      </c>
    </row>
    <row r="115" spans="1:6" ht="15" customHeight="1" x14ac:dyDescent="0.2">
      <c r="A115" s="147">
        <v>13</v>
      </c>
      <c r="B115" s="169" t="s">
        <v>245</v>
      </c>
      <c r="C115" s="157">
        <v>6360254</v>
      </c>
      <c r="D115" s="157">
        <v>6416717</v>
      </c>
      <c r="E115" s="157">
        <f t="shared" si="4"/>
        <v>56463</v>
      </c>
      <c r="F115" s="161">
        <f t="shared" si="5"/>
        <v>8.8774756479851284E-3</v>
      </c>
    </row>
    <row r="116" spans="1:6" ht="15" customHeight="1" x14ac:dyDescent="0.2">
      <c r="A116" s="147">
        <v>14</v>
      </c>
      <c r="B116" s="169" t="s">
        <v>246</v>
      </c>
      <c r="C116" s="157">
        <v>1255064</v>
      </c>
      <c r="D116" s="157">
        <v>1403975</v>
      </c>
      <c r="E116" s="157">
        <f t="shared" si="4"/>
        <v>148911</v>
      </c>
      <c r="F116" s="161">
        <f t="shared" si="5"/>
        <v>0.11864813268486707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1208735</v>
      </c>
      <c r="D118" s="157">
        <v>1154774</v>
      </c>
      <c r="E118" s="157">
        <f t="shared" si="4"/>
        <v>-53961</v>
      </c>
      <c r="F118" s="161">
        <f t="shared" si="5"/>
        <v>-4.464253951445106E-2</v>
      </c>
    </row>
    <row r="119" spans="1:6" ht="15" customHeight="1" x14ac:dyDescent="0.2">
      <c r="A119" s="147">
        <v>17</v>
      </c>
      <c r="B119" s="169" t="s">
        <v>248</v>
      </c>
      <c r="C119" s="157">
        <v>10488422</v>
      </c>
      <c r="D119" s="157">
        <v>9799529</v>
      </c>
      <c r="E119" s="157">
        <f t="shared" si="4"/>
        <v>-688893</v>
      </c>
      <c r="F119" s="161">
        <f t="shared" si="5"/>
        <v>-6.5681281702814787E-2</v>
      </c>
    </row>
    <row r="120" spans="1:6" ht="15" customHeight="1" x14ac:dyDescent="0.2">
      <c r="A120" s="147">
        <v>18</v>
      </c>
      <c r="B120" s="169" t="s">
        <v>249</v>
      </c>
      <c r="C120" s="157">
        <v>35950807</v>
      </c>
      <c r="D120" s="157">
        <v>57563918</v>
      </c>
      <c r="E120" s="157">
        <f t="shared" si="4"/>
        <v>21613111</v>
      </c>
      <c r="F120" s="161">
        <f t="shared" si="5"/>
        <v>0.60118569800116028</v>
      </c>
    </row>
    <row r="121" spans="1:6" ht="15.75" customHeight="1" x14ac:dyDescent="0.25">
      <c r="A121" s="147"/>
      <c r="B121" s="165" t="s">
        <v>250</v>
      </c>
      <c r="C121" s="158">
        <f>SUM(C103:C120)</f>
        <v>97187708</v>
      </c>
      <c r="D121" s="158">
        <f>SUM(D103:D120)</f>
        <v>118585935</v>
      </c>
      <c r="E121" s="158">
        <f t="shared" si="4"/>
        <v>21398227</v>
      </c>
      <c r="F121" s="159">
        <f t="shared" si="5"/>
        <v>0.22017421174290888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8294135</v>
      </c>
      <c r="D124" s="157">
        <v>6975910</v>
      </c>
      <c r="E124" s="157">
        <f t="shared" ref="E124:E130" si="6">D124-C124</f>
        <v>-1318225</v>
      </c>
      <c r="F124" s="161">
        <f t="shared" ref="F124:F130" si="7">IF(C124=0,0,E124/C124)</f>
        <v>-0.1589345965552767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964595</v>
      </c>
      <c r="D126" s="157">
        <v>1586268</v>
      </c>
      <c r="E126" s="157">
        <f t="shared" si="6"/>
        <v>621673</v>
      </c>
      <c r="F126" s="161">
        <f t="shared" si="7"/>
        <v>0.64449121133740062</v>
      </c>
    </row>
    <row r="127" spans="1:6" ht="15" customHeight="1" x14ac:dyDescent="0.2">
      <c r="A127" s="147">
        <v>4</v>
      </c>
      <c r="B127" s="169" t="s">
        <v>255</v>
      </c>
      <c r="C127" s="157">
        <v>1840465</v>
      </c>
      <c r="D127" s="157">
        <v>2195308</v>
      </c>
      <c r="E127" s="157">
        <f t="shared" si="6"/>
        <v>354843</v>
      </c>
      <c r="F127" s="161">
        <f t="shared" si="7"/>
        <v>0.19280073242359946</v>
      </c>
    </row>
    <row r="128" spans="1:6" ht="15" customHeight="1" x14ac:dyDescent="0.2">
      <c r="A128" s="147">
        <v>5</v>
      </c>
      <c r="B128" s="169" t="s">
        <v>256</v>
      </c>
      <c r="C128" s="157">
        <v>1677604</v>
      </c>
      <c r="D128" s="157">
        <v>1782959</v>
      </c>
      <c r="E128" s="157">
        <f t="shared" si="6"/>
        <v>105355</v>
      </c>
      <c r="F128" s="161">
        <f t="shared" si="7"/>
        <v>6.2800875534393105E-2</v>
      </c>
    </row>
    <row r="129" spans="1:6" ht="15" customHeight="1" x14ac:dyDescent="0.2">
      <c r="A129" s="147">
        <v>6</v>
      </c>
      <c r="B129" s="169" t="s">
        <v>257</v>
      </c>
      <c r="C129" s="157">
        <v>6936011</v>
      </c>
      <c r="D129" s="157">
        <v>7122021</v>
      </c>
      <c r="E129" s="157">
        <f t="shared" si="6"/>
        <v>186010</v>
      </c>
      <c r="F129" s="161">
        <f t="shared" si="7"/>
        <v>2.6818008218268397E-2</v>
      </c>
    </row>
    <row r="130" spans="1:6" ht="15.75" customHeight="1" x14ac:dyDescent="0.25">
      <c r="A130" s="147"/>
      <c r="B130" s="165" t="s">
        <v>258</v>
      </c>
      <c r="C130" s="158">
        <f>SUM(C124:C129)</f>
        <v>19712810</v>
      </c>
      <c r="D130" s="158">
        <f>SUM(D124:D129)</f>
        <v>19662466</v>
      </c>
      <c r="E130" s="158">
        <f t="shared" si="6"/>
        <v>-50344</v>
      </c>
      <c r="F130" s="159">
        <f t="shared" si="7"/>
        <v>-2.553872329718594E-3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14896297</v>
      </c>
      <c r="D133" s="157">
        <v>16628657</v>
      </c>
      <c r="E133" s="157">
        <f t="shared" ref="E133:E167" si="8">D133-C133</f>
        <v>1732360</v>
      </c>
      <c r="F133" s="161">
        <f t="shared" ref="F133:F167" si="9">IF(C133=0,0,E133/C133)</f>
        <v>0.11629467377026653</v>
      </c>
    </row>
    <row r="134" spans="1:6" ht="15" customHeight="1" x14ac:dyDescent="0.2">
      <c r="A134" s="147">
        <v>2</v>
      </c>
      <c r="B134" s="169" t="s">
        <v>261</v>
      </c>
      <c r="C134" s="157">
        <v>913365</v>
      </c>
      <c r="D134" s="157">
        <v>880986</v>
      </c>
      <c r="E134" s="157">
        <f t="shared" si="8"/>
        <v>-32379</v>
      </c>
      <c r="F134" s="161">
        <f t="shared" si="9"/>
        <v>-3.5450230740175066E-2</v>
      </c>
    </row>
    <row r="135" spans="1:6" ht="15" customHeight="1" x14ac:dyDescent="0.2">
      <c r="A135" s="147">
        <v>3</v>
      </c>
      <c r="B135" s="169" t="s">
        <v>262</v>
      </c>
      <c r="C135" s="157">
        <v>374077</v>
      </c>
      <c r="D135" s="157">
        <v>802278</v>
      </c>
      <c r="E135" s="157">
        <f t="shared" si="8"/>
        <v>428201</v>
      </c>
      <c r="F135" s="161">
        <f t="shared" si="9"/>
        <v>1.1446867890835308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2559513</v>
      </c>
      <c r="D137" s="157">
        <v>2453570</v>
      </c>
      <c r="E137" s="157">
        <f t="shared" si="8"/>
        <v>-105943</v>
      </c>
      <c r="F137" s="161">
        <f t="shared" si="9"/>
        <v>-4.1391858529337418E-2</v>
      </c>
    </row>
    <row r="138" spans="1:6" ht="15" customHeight="1" x14ac:dyDescent="0.2">
      <c r="A138" s="147">
        <v>6</v>
      </c>
      <c r="B138" s="169" t="s">
        <v>265</v>
      </c>
      <c r="C138" s="157">
        <v>434003</v>
      </c>
      <c r="D138" s="157">
        <v>465777</v>
      </c>
      <c r="E138" s="157">
        <f t="shared" si="8"/>
        <v>31774</v>
      </c>
      <c r="F138" s="161">
        <f t="shared" si="9"/>
        <v>7.3211475496713155E-2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640741</v>
      </c>
      <c r="D140" s="157">
        <v>424071</v>
      </c>
      <c r="E140" s="157">
        <f t="shared" si="8"/>
        <v>-216670</v>
      </c>
      <c r="F140" s="161">
        <f t="shared" si="9"/>
        <v>-0.33815535450361378</v>
      </c>
    </row>
    <row r="141" spans="1:6" ht="15" customHeight="1" x14ac:dyDescent="0.2">
      <c r="A141" s="147">
        <v>9</v>
      </c>
      <c r="B141" s="169" t="s">
        <v>268</v>
      </c>
      <c r="C141" s="157">
        <v>773385</v>
      </c>
      <c r="D141" s="157">
        <v>969782</v>
      </c>
      <c r="E141" s="157">
        <f t="shared" si="8"/>
        <v>196397</v>
      </c>
      <c r="F141" s="161">
        <f t="shared" si="9"/>
        <v>0.2539446717999444</v>
      </c>
    </row>
    <row r="142" spans="1:6" ht="15" customHeight="1" x14ac:dyDescent="0.2">
      <c r="A142" s="147">
        <v>10</v>
      </c>
      <c r="B142" s="169" t="s">
        <v>269</v>
      </c>
      <c r="C142" s="157">
        <v>7503780</v>
      </c>
      <c r="D142" s="157">
        <v>7302618</v>
      </c>
      <c r="E142" s="157">
        <f t="shared" si="8"/>
        <v>-201162</v>
      </c>
      <c r="F142" s="161">
        <f t="shared" si="9"/>
        <v>-2.6808088723283465E-2</v>
      </c>
    </row>
    <row r="143" spans="1:6" ht="15" customHeight="1" x14ac:dyDescent="0.2">
      <c r="A143" s="147">
        <v>11</v>
      </c>
      <c r="B143" s="169" t="s">
        <v>270</v>
      </c>
      <c r="C143" s="157">
        <v>1304931</v>
      </c>
      <c r="D143" s="157">
        <v>1408097</v>
      </c>
      <c r="E143" s="157">
        <f t="shared" si="8"/>
        <v>103166</v>
      </c>
      <c r="F143" s="161">
        <f t="shared" si="9"/>
        <v>7.9058586239425688E-2</v>
      </c>
    </row>
    <row r="144" spans="1:6" ht="15" customHeight="1" x14ac:dyDescent="0.2">
      <c r="A144" s="147">
        <v>12</v>
      </c>
      <c r="B144" s="169" t="s">
        <v>271</v>
      </c>
      <c r="C144" s="157">
        <v>7008314</v>
      </c>
      <c r="D144" s="157">
        <v>7161315</v>
      </c>
      <c r="E144" s="157">
        <f t="shared" si="8"/>
        <v>153001</v>
      </c>
      <c r="F144" s="161">
        <f t="shared" si="9"/>
        <v>2.1831356300531055E-2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348925</v>
      </c>
      <c r="D146" s="157">
        <v>326065</v>
      </c>
      <c r="E146" s="157">
        <f t="shared" si="8"/>
        <v>-22860</v>
      </c>
      <c r="F146" s="161">
        <f t="shared" si="9"/>
        <v>-6.5515511929497741E-2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7800</v>
      </c>
      <c r="E147" s="157">
        <f t="shared" si="8"/>
        <v>7800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506</v>
      </c>
      <c r="D148" s="157">
        <v>511</v>
      </c>
      <c r="E148" s="157">
        <f t="shared" si="8"/>
        <v>5</v>
      </c>
      <c r="F148" s="161">
        <f t="shared" si="9"/>
        <v>9.881422924901186E-3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1586746</v>
      </c>
      <c r="D150" s="157">
        <v>1628252</v>
      </c>
      <c r="E150" s="157">
        <f t="shared" si="8"/>
        <v>41506</v>
      </c>
      <c r="F150" s="161">
        <f t="shared" si="9"/>
        <v>2.6157935800688956E-2</v>
      </c>
    </row>
    <row r="151" spans="1:6" ht="15" customHeight="1" x14ac:dyDescent="0.2">
      <c r="A151" s="147">
        <v>19</v>
      </c>
      <c r="B151" s="169" t="s">
        <v>278</v>
      </c>
      <c r="C151" s="157">
        <v>22565</v>
      </c>
      <c r="D151" s="157">
        <v>23696</v>
      </c>
      <c r="E151" s="157">
        <f t="shared" si="8"/>
        <v>1131</v>
      </c>
      <c r="F151" s="161">
        <f t="shared" si="9"/>
        <v>5.012187015289165E-2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6003563</v>
      </c>
      <c r="D154" s="157">
        <v>6181372</v>
      </c>
      <c r="E154" s="157">
        <f t="shared" si="8"/>
        <v>177809</v>
      </c>
      <c r="F154" s="161">
        <f t="shared" si="9"/>
        <v>2.9617245625639308E-2</v>
      </c>
    </row>
    <row r="155" spans="1:6" ht="15" customHeight="1" x14ac:dyDescent="0.2">
      <c r="A155" s="147">
        <v>23</v>
      </c>
      <c r="B155" s="169" t="s">
        <v>282</v>
      </c>
      <c r="C155" s="157">
        <v>349799</v>
      </c>
      <c r="D155" s="157">
        <v>339089</v>
      </c>
      <c r="E155" s="157">
        <f t="shared" si="8"/>
        <v>-10710</v>
      </c>
      <c r="F155" s="161">
        <f t="shared" si="9"/>
        <v>-3.0617583240661064E-2</v>
      </c>
    </row>
    <row r="156" spans="1:6" ht="15" customHeight="1" x14ac:dyDescent="0.2">
      <c r="A156" s="147">
        <v>24</v>
      </c>
      <c r="B156" s="169" t="s">
        <v>283</v>
      </c>
      <c r="C156" s="157">
        <v>6868479</v>
      </c>
      <c r="D156" s="157">
        <v>8107878</v>
      </c>
      <c r="E156" s="157">
        <f t="shared" si="8"/>
        <v>1239399</v>
      </c>
      <c r="F156" s="161">
        <f t="shared" si="9"/>
        <v>0.18044737415663642</v>
      </c>
    </row>
    <row r="157" spans="1:6" ht="15" customHeight="1" x14ac:dyDescent="0.2">
      <c r="A157" s="147">
        <v>25</v>
      </c>
      <c r="B157" s="169" t="s">
        <v>284</v>
      </c>
      <c r="C157" s="157">
        <v>1080494</v>
      </c>
      <c r="D157" s="157">
        <v>1071800</v>
      </c>
      <c r="E157" s="157">
        <f t="shared" si="8"/>
        <v>-8694</v>
      </c>
      <c r="F157" s="161">
        <f t="shared" si="9"/>
        <v>-8.0463195538337095E-3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1624812</v>
      </c>
      <c r="D160" s="157">
        <v>939356</v>
      </c>
      <c r="E160" s="157">
        <f t="shared" si="8"/>
        <v>-685456</v>
      </c>
      <c r="F160" s="161">
        <f t="shared" si="9"/>
        <v>-0.42186788379209411</v>
      </c>
    </row>
    <row r="161" spans="1:6" ht="15" customHeight="1" x14ac:dyDescent="0.2">
      <c r="A161" s="147">
        <v>29</v>
      </c>
      <c r="B161" s="169" t="s">
        <v>288</v>
      </c>
      <c r="C161" s="157">
        <v>502647</v>
      </c>
      <c r="D161" s="157">
        <v>477085</v>
      </c>
      <c r="E161" s="157">
        <f t="shared" si="8"/>
        <v>-25562</v>
      </c>
      <c r="F161" s="161">
        <f t="shared" si="9"/>
        <v>-5.0854774822091844E-2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257580</v>
      </c>
      <c r="D163" s="157">
        <v>253656</v>
      </c>
      <c r="E163" s="157">
        <f t="shared" si="8"/>
        <v>-3924</v>
      </c>
      <c r="F163" s="161">
        <f t="shared" si="9"/>
        <v>-1.5234102026554857E-2</v>
      </c>
    </row>
    <row r="164" spans="1:6" ht="15" customHeight="1" x14ac:dyDescent="0.2">
      <c r="A164" s="147">
        <v>32</v>
      </c>
      <c r="B164" s="169" t="s">
        <v>291</v>
      </c>
      <c r="C164" s="157">
        <v>1338787</v>
      </c>
      <c r="D164" s="157">
        <v>1324209</v>
      </c>
      <c r="E164" s="157">
        <f t="shared" si="8"/>
        <v>-14578</v>
      </c>
      <c r="F164" s="161">
        <f t="shared" si="9"/>
        <v>-1.0888961425529229E-2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410608</v>
      </c>
      <c r="D166" s="157">
        <v>384387</v>
      </c>
      <c r="E166" s="157">
        <f t="shared" si="8"/>
        <v>-26221</v>
      </c>
      <c r="F166" s="161">
        <f t="shared" si="9"/>
        <v>-6.3858960370962087E-2</v>
      </c>
    </row>
    <row r="167" spans="1:6" ht="15.75" customHeight="1" x14ac:dyDescent="0.25">
      <c r="A167" s="147"/>
      <c r="B167" s="165" t="s">
        <v>294</v>
      </c>
      <c r="C167" s="158">
        <f>SUM(C133:C166)</f>
        <v>56803917</v>
      </c>
      <c r="D167" s="158">
        <f>SUM(D133:D166)</f>
        <v>59562307</v>
      </c>
      <c r="E167" s="158">
        <f t="shared" si="8"/>
        <v>2758390</v>
      </c>
      <c r="F167" s="159">
        <f t="shared" si="9"/>
        <v>4.8559855476163732E-2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16371125</v>
      </c>
      <c r="D170" s="157">
        <v>16012265</v>
      </c>
      <c r="E170" s="157">
        <f t="shared" ref="E170:E183" si="10">D170-C170</f>
        <v>-358860</v>
      </c>
      <c r="F170" s="161">
        <f t="shared" ref="F170:F183" si="11">IF(C170=0,0,E170/C170)</f>
        <v>-2.1920301750795991E-2</v>
      </c>
    </row>
    <row r="171" spans="1:6" ht="15" customHeight="1" x14ac:dyDescent="0.2">
      <c r="A171" s="147">
        <v>2</v>
      </c>
      <c r="B171" s="169" t="s">
        <v>297</v>
      </c>
      <c r="C171" s="157">
        <v>4228167</v>
      </c>
      <c r="D171" s="157">
        <v>4512736</v>
      </c>
      <c r="E171" s="157">
        <f t="shared" si="10"/>
        <v>284569</v>
      </c>
      <c r="F171" s="161">
        <f t="shared" si="11"/>
        <v>6.7303159974523241E-2</v>
      </c>
    </row>
    <row r="172" spans="1:6" ht="15" customHeight="1" x14ac:dyDescent="0.2">
      <c r="A172" s="147">
        <v>3</v>
      </c>
      <c r="B172" s="169" t="s">
        <v>298</v>
      </c>
      <c r="C172" s="157">
        <v>1454314</v>
      </c>
      <c r="D172" s="157">
        <v>1545870</v>
      </c>
      <c r="E172" s="157">
        <f t="shared" si="10"/>
        <v>91556</v>
      </c>
      <c r="F172" s="161">
        <f t="shared" si="11"/>
        <v>6.2954767677406667E-2</v>
      </c>
    </row>
    <row r="173" spans="1:6" ht="15" customHeight="1" x14ac:dyDescent="0.2">
      <c r="A173" s="147">
        <v>4</v>
      </c>
      <c r="B173" s="169" t="s">
        <v>299</v>
      </c>
      <c r="C173" s="157">
        <v>4887887</v>
      </c>
      <c r="D173" s="157">
        <v>4205825</v>
      </c>
      <c r="E173" s="157">
        <f t="shared" si="10"/>
        <v>-682062</v>
      </c>
      <c r="F173" s="161">
        <f t="shared" si="11"/>
        <v>-0.13954127826604829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4669693</v>
      </c>
      <c r="D175" s="157">
        <v>4315157</v>
      </c>
      <c r="E175" s="157">
        <f t="shared" si="10"/>
        <v>-354536</v>
      </c>
      <c r="F175" s="161">
        <f t="shared" si="11"/>
        <v>-7.592276408748927E-2</v>
      </c>
    </row>
    <row r="176" spans="1:6" ht="15" customHeight="1" x14ac:dyDescent="0.2">
      <c r="A176" s="147">
        <v>7</v>
      </c>
      <c r="B176" s="169" t="s">
        <v>302</v>
      </c>
      <c r="C176" s="157">
        <v>1557460</v>
      </c>
      <c r="D176" s="157">
        <v>1610200</v>
      </c>
      <c r="E176" s="157">
        <f t="shared" si="10"/>
        <v>52740</v>
      </c>
      <c r="F176" s="161">
        <f t="shared" si="11"/>
        <v>3.3862827937796158E-2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2031590</v>
      </c>
      <c r="D179" s="157">
        <v>2119177</v>
      </c>
      <c r="E179" s="157">
        <f t="shared" si="10"/>
        <v>87587</v>
      </c>
      <c r="F179" s="161">
        <f t="shared" si="11"/>
        <v>4.3112537470651066E-2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35200236</v>
      </c>
      <c r="D183" s="158">
        <f>SUM(D170:D182)</f>
        <v>34321230</v>
      </c>
      <c r="E183" s="158">
        <f t="shared" si="10"/>
        <v>-879006</v>
      </c>
      <c r="F183" s="159">
        <f t="shared" si="11"/>
        <v>-2.4971593940449718E-2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2048195</v>
      </c>
      <c r="D186" s="157">
        <v>1679216</v>
      </c>
      <c r="E186" s="157">
        <f>D186-C186</f>
        <v>-368979</v>
      </c>
      <c r="F186" s="161">
        <f>IF(C186=0,0,E186/C186)</f>
        <v>-0.18014837454441593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210952866</v>
      </c>
      <c r="D188" s="158">
        <f>+D186+D183+D167+D130+D121</f>
        <v>233811154</v>
      </c>
      <c r="E188" s="158">
        <f>D188-C188</f>
        <v>22858288</v>
      </c>
      <c r="F188" s="159">
        <f>IF(C188=0,0,E188/C188)</f>
        <v>0.10835732376349891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208626652</v>
      </c>
      <c r="D11" s="183">
        <v>192703886</v>
      </c>
      <c r="E11" s="76">
        <v>206904001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8214242</v>
      </c>
      <c r="D12" s="185">
        <v>6461805</v>
      </c>
      <c r="E12" s="185">
        <v>6874599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216840894</v>
      </c>
      <c r="D13" s="76">
        <f>+D11+D12</f>
        <v>199165691</v>
      </c>
      <c r="E13" s="76">
        <f>+E11+E12</f>
        <v>213778600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216453293</v>
      </c>
      <c r="D14" s="185">
        <v>210952866</v>
      </c>
      <c r="E14" s="185">
        <v>233811154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387601</v>
      </c>
      <c r="D15" s="76">
        <f>+D13-D14</f>
        <v>-11787175</v>
      </c>
      <c r="E15" s="76">
        <f>+E13-E14</f>
        <v>-20032554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3136173</v>
      </c>
      <c r="D16" s="185">
        <v>2169188</v>
      </c>
      <c r="E16" s="185">
        <v>3515776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3523774</v>
      </c>
      <c r="D17" s="76">
        <f>D15+D16</f>
        <v>-9617987</v>
      </c>
      <c r="E17" s="76">
        <f>E15+E16</f>
        <v>-16516778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1.7620064004217311E-3</v>
      </c>
      <c r="D20" s="189">
        <f>IF(+D27=0,0,+D24/+D27)</f>
        <v>-5.8545121732235972E-2</v>
      </c>
      <c r="E20" s="189">
        <f>IF(+E27=0,0,+E24/+E27)</f>
        <v>-9.219085357275883E-2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1.4256817961846904E-2</v>
      </c>
      <c r="D21" s="189">
        <f>IF(D27=0,0,+D26/D27)</f>
        <v>1.0774029868913076E-2</v>
      </c>
      <c r="E21" s="189">
        <f>IF(E27=0,0,+E26/E27)</f>
        <v>1.6179783686624268E-2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1.6018824362268636E-2</v>
      </c>
      <c r="D22" s="189">
        <f>IF(D27=0,0,+D28/D27)</f>
        <v>-4.7771091863322894E-2</v>
      </c>
      <c r="E22" s="189">
        <f>IF(E27=0,0,+E28/E27)</f>
        <v>-7.6011069886134555E-2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387601</v>
      </c>
      <c r="D24" s="76">
        <f>+D15</f>
        <v>-11787175</v>
      </c>
      <c r="E24" s="76">
        <f>+E15</f>
        <v>-20032554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216840894</v>
      </c>
      <c r="D25" s="76">
        <f>+D13</f>
        <v>199165691</v>
      </c>
      <c r="E25" s="76">
        <f>+E13</f>
        <v>213778600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3136173</v>
      </c>
      <c r="D26" s="76">
        <f>+D16</f>
        <v>2169188</v>
      </c>
      <c r="E26" s="76">
        <f>+E16</f>
        <v>3515776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219977067</v>
      </c>
      <c r="D27" s="76">
        <f>+D25+D26</f>
        <v>201334879</v>
      </c>
      <c r="E27" s="76">
        <f>+E25+E26</f>
        <v>217294376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3523774</v>
      </c>
      <c r="D28" s="76">
        <f>+D17</f>
        <v>-9617987</v>
      </c>
      <c r="E28" s="76">
        <f>+E17</f>
        <v>-16516778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11890055</v>
      </c>
      <c r="D31" s="76">
        <v>-10077417</v>
      </c>
      <c r="E31" s="76">
        <v>-41588851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69529379</v>
      </c>
      <c r="D32" s="76">
        <v>44346385</v>
      </c>
      <c r="E32" s="76">
        <v>15267838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-5299889</v>
      </c>
      <c r="D33" s="76">
        <f>+D32-C32</f>
        <v>-25182994</v>
      </c>
      <c r="E33" s="76">
        <f>+E32-D32</f>
        <v>-29078547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0.92910000000000004</v>
      </c>
      <c r="D34" s="193">
        <f>IF(C32=0,0,+D33/C32)</f>
        <v>-0.36219213176059001</v>
      </c>
      <c r="E34" s="193">
        <f>IF(D32=0,0,+E33/D32)</f>
        <v>-0.65571403396240757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0.23690023054961371</v>
      </c>
      <c r="D38" s="195">
        <f>IF((D40+D41)=0,0,+D39/(D40+D41))</f>
        <v>0.22862078967846874</v>
      </c>
      <c r="E38" s="195">
        <f>IF((E40+E41)=0,0,+E39/(E40+E41))</f>
        <v>0.25043303622359908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216453293</v>
      </c>
      <c r="D39" s="76">
        <v>210952866</v>
      </c>
      <c r="E39" s="196">
        <v>233811154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905475426</v>
      </c>
      <c r="D40" s="76">
        <v>916257718</v>
      </c>
      <c r="E40" s="196">
        <v>926752839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8214242</v>
      </c>
      <c r="D41" s="76">
        <v>6461805</v>
      </c>
      <c r="E41" s="196">
        <v>6874599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1.3579633921215088</v>
      </c>
      <c r="D43" s="197">
        <f>IF(D38=0,0,IF((D46-D47)=0,0,((+D44-D45)/(D46-D47)/D38)))</f>
        <v>1.2320365596771927</v>
      </c>
      <c r="E43" s="197">
        <f>IF(E38=0,0,IF((E46-E47)=0,0,((+E44-E45)/(E46-E47)/E38)))</f>
        <v>1.0598989345364633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90645870</v>
      </c>
      <c r="D44" s="76">
        <v>78344437</v>
      </c>
      <c r="E44" s="196">
        <v>75536044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938622</v>
      </c>
      <c r="D45" s="76">
        <v>1395762</v>
      </c>
      <c r="E45" s="196">
        <v>3432789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289559066</v>
      </c>
      <c r="D46" s="76">
        <v>281989670</v>
      </c>
      <c r="E46" s="196">
        <v>282984008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10706922</v>
      </c>
      <c r="D47" s="76">
        <v>8801537</v>
      </c>
      <c r="E47" s="76">
        <v>11340834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0.87554180610754928</v>
      </c>
      <c r="D49" s="198">
        <f>IF(D38=0,0,IF(D51=0,0,(D50/D51)/D38))</f>
        <v>0.84160671395926956</v>
      </c>
      <c r="E49" s="198">
        <f>IF(E38=0,0,IF(E51=0,0,(E50/E51)/E38))</f>
        <v>0.90777662367570644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88141859</v>
      </c>
      <c r="D50" s="199">
        <v>82459348</v>
      </c>
      <c r="E50" s="199">
        <v>96658633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424951958</v>
      </c>
      <c r="D51" s="199">
        <v>428563307</v>
      </c>
      <c r="E51" s="199">
        <v>425177266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0.70332564337175263</v>
      </c>
      <c r="D53" s="198">
        <f>IF(D38=0,0,IF(D55=0,0,(D54/D55)/D38))</f>
        <v>0.84296225371445255</v>
      </c>
      <c r="E53" s="198">
        <f>IF(E38=0,0,IF(E55=0,0,(E54/E55)/E38))</f>
        <v>0.72726895441405759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31612939</v>
      </c>
      <c r="D54" s="199">
        <v>39339859</v>
      </c>
      <c r="E54" s="199">
        <v>39589729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189733028</v>
      </c>
      <c r="D55" s="199">
        <v>204130994</v>
      </c>
      <c r="E55" s="199">
        <v>217368126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2212000.4681030693</v>
      </c>
      <c r="D57" s="88">
        <f>+D60*D38</f>
        <v>1940290.9247537835</v>
      </c>
      <c r="E57" s="88">
        <f>+E60*E38</f>
        <v>2843490.0701623573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5644280</v>
      </c>
      <c r="D58" s="199">
        <v>4739178</v>
      </c>
      <c r="E58" s="199">
        <v>5849188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3692986</v>
      </c>
      <c r="D59" s="199">
        <v>3747762</v>
      </c>
      <c r="E59" s="199">
        <v>5505105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9337266</v>
      </c>
      <c r="D60" s="76">
        <v>8486940</v>
      </c>
      <c r="E60" s="201">
        <v>11354293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1.0219296909024476E-2</v>
      </c>
      <c r="D62" s="202">
        <f>IF(D63=0,0,+D57/D63)</f>
        <v>9.1977462148050814E-3</v>
      </c>
      <c r="E62" s="202">
        <f>IF(E63=0,0,+E57/E63)</f>
        <v>1.216148169801325E-2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216453293</v>
      </c>
      <c r="D63" s="199">
        <v>210952866</v>
      </c>
      <c r="E63" s="199">
        <v>233811154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1.7273170401540114</v>
      </c>
      <c r="D67" s="203">
        <f>IF(D69=0,0,D68/D69)</f>
        <v>1.3085425181804733</v>
      </c>
      <c r="E67" s="203">
        <f>IF(E69=0,0,E68/E69)</f>
        <v>0.93246874748674291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63137003</v>
      </c>
      <c r="D68" s="204">
        <v>52372547</v>
      </c>
      <c r="E68" s="204">
        <v>45287633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36552064</v>
      </c>
      <c r="D69" s="204">
        <v>40023573</v>
      </c>
      <c r="E69" s="204">
        <v>48567454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47.926913499416493</v>
      </c>
      <c r="D71" s="203">
        <f>IF((D77/365)=0,0,+D74/(D77/365))</f>
        <v>29.167406182063619</v>
      </c>
      <c r="E71" s="203">
        <f>IF((E77/365)=0,0,+E74/(E77/365))</f>
        <v>13.033028145852793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27492453</v>
      </c>
      <c r="D72" s="183">
        <v>16313006</v>
      </c>
      <c r="E72" s="183">
        <v>8118706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27492453</v>
      </c>
      <c r="D74" s="204">
        <f>+D72+D73</f>
        <v>16313006</v>
      </c>
      <c r="E74" s="204">
        <f>+E72+E73</f>
        <v>8118706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216453293</v>
      </c>
      <c r="D75" s="204">
        <f>+D14</f>
        <v>210952866</v>
      </c>
      <c r="E75" s="204">
        <f>+E14</f>
        <v>233811154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7077295</v>
      </c>
      <c r="D76" s="204">
        <v>6812424</v>
      </c>
      <c r="E76" s="204">
        <v>6440534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209375998</v>
      </c>
      <c r="D77" s="204">
        <f>+D75-D76</f>
        <v>204140442</v>
      </c>
      <c r="E77" s="204">
        <f>+E75-E76</f>
        <v>227370620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39.681642496951923</v>
      </c>
      <c r="D79" s="203">
        <f>IF((D84/365)=0,0,+D83/(D84/365))</f>
        <v>38.539165577595043</v>
      </c>
      <c r="E79" s="203">
        <f>IF((E84/365)=0,0,+E83/(E84/365))</f>
        <v>28.004121389610052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26853209</v>
      </c>
      <c r="D80" s="212">
        <v>27695330</v>
      </c>
      <c r="E80" s="212">
        <v>21515681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4171981</v>
      </c>
      <c r="D82" s="212">
        <v>7348352</v>
      </c>
      <c r="E82" s="212">
        <v>5641257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22681228</v>
      </c>
      <c r="D83" s="212">
        <f>+D80+D81-D82</f>
        <v>20346978</v>
      </c>
      <c r="E83" s="212">
        <f>+E80+E81-E82</f>
        <v>15874424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208626652</v>
      </c>
      <c r="D84" s="204">
        <f>+D11</f>
        <v>192703886</v>
      </c>
      <c r="E84" s="204">
        <f>+E11</f>
        <v>206904001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63.7203093355524</v>
      </c>
      <c r="D86" s="203">
        <f>IF((D90/365)=0,0,+D87/(D90/365))</f>
        <v>71.561538722444809</v>
      </c>
      <c r="E86" s="203">
        <f>IF((E90/365)=0,0,+E87/(E90/365))</f>
        <v>77.965749092824751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36552064</v>
      </c>
      <c r="D87" s="76">
        <f>+D69</f>
        <v>40023573</v>
      </c>
      <c r="E87" s="76">
        <f>+E69</f>
        <v>48567454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216453293</v>
      </c>
      <c r="D88" s="76">
        <f t="shared" si="0"/>
        <v>210952866</v>
      </c>
      <c r="E88" s="76">
        <f t="shared" si="0"/>
        <v>233811154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7077295</v>
      </c>
      <c r="D89" s="201">
        <f t="shared" si="0"/>
        <v>6812424</v>
      </c>
      <c r="E89" s="201">
        <f t="shared" si="0"/>
        <v>6440534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209375998</v>
      </c>
      <c r="D90" s="76">
        <f>+D88-D89</f>
        <v>204140442</v>
      </c>
      <c r="E90" s="76">
        <f>+E88-E89</f>
        <v>227370620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44.730934496046935</v>
      </c>
      <c r="D94" s="214">
        <f>IF(D96=0,0,(D95/D96)*100)</f>
        <v>32.337206392240027</v>
      </c>
      <c r="E94" s="214">
        <f>IF(E96=0,0,(E95/E96)*100)</f>
        <v>12.42566890145252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69529379</v>
      </c>
      <c r="D95" s="76">
        <f>+D32</f>
        <v>44346385</v>
      </c>
      <c r="E95" s="76">
        <f>+E32</f>
        <v>15267838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155439138</v>
      </c>
      <c r="D96" s="76">
        <v>137137341</v>
      </c>
      <c r="E96" s="76">
        <v>122873369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17.451482199176006</v>
      </c>
      <c r="D98" s="214">
        <f>IF(D104=0,0,(D101/D104)*100)</f>
        <v>-4.1923957879435054</v>
      </c>
      <c r="E98" s="214">
        <f>IF(E104=0,0,(E101/E104)*100)</f>
        <v>-19.791379632975435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3523774</v>
      </c>
      <c r="D99" s="76">
        <f>+D28</f>
        <v>-9617987</v>
      </c>
      <c r="E99" s="76">
        <f>+E28</f>
        <v>-16516778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7077295</v>
      </c>
      <c r="D100" s="201">
        <f>+D76</f>
        <v>6812424</v>
      </c>
      <c r="E100" s="201">
        <f>+E76</f>
        <v>6440534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10601069</v>
      </c>
      <c r="D101" s="76">
        <f>+D99+D100</f>
        <v>-2805563</v>
      </c>
      <c r="E101" s="76">
        <f>+E99+E100</f>
        <v>-10076244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36552064</v>
      </c>
      <c r="D102" s="204">
        <f>+D69</f>
        <v>40023573</v>
      </c>
      <c r="E102" s="204">
        <f>+E69</f>
        <v>48567454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24193888</v>
      </c>
      <c r="D103" s="216">
        <v>26896707</v>
      </c>
      <c r="E103" s="216">
        <v>2344833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60745952</v>
      </c>
      <c r="D104" s="204">
        <f>+D102+D103</f>
        <v>66920280</v>
      </c>
      <c r="E104" s="204">
        <f>+E102+E103</f>
        <v>50912287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25.814174830247861</v>
      </c>
      <c r="D106" s="214">
        <f>IF(D109=0,0,(D107/D109)*100)</f>
        <v>37.753424570623636</v>
      </c>
      <c r="E106" s="214">
        <f>IF(E109=0,0,(E107/E109)*100)</f>
        <v>13.31332993161571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24193888</v>
      </c>
      <c r="D107" s="204">
        <f>+D103</f>
        <v>26896707</v>
      </c>
      <c r="E107" s="204">
        <f>+E103</f>
        <v>2344833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69529379</v>
      </c>
      <c r="D108" s="204">
        <f>+D32</f>
        <v>44346385</v>
      </c>
      <c r="E108" s="204">
        <f>+E32</f>
        <v>15267838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93723267</v>
      </c>
      <c r="D109" s="204">
        <f>+D107+D108</f>
        <v>71243092</v>
      </c>
      <c r="E109" s="204">
        <f>+E107+E108</f>
        <v>17612671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4.9779811411594386</v>
      </c>
      <c r="D111" s="214">
        <f>IF((+D113+D115)=0,0,((+D112+D113+D114)/(+D113+D115)))</f>
        <v>-0.59904732932569393</v>
      </c>
      <c r="E111" s="214">
        <f>IF((+E113+E115)=0,0,((+E112+E113+E114)/(+E113+E115)))</f>
        <v>-0.30462838918706908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3523774</v>
      </c>
      <c r="D112" s="76">
        <f>+D17</f>
        <v>-9617987</v>
      </c>
      <c r="E112" s="76">
        <f>+E17</f>
        <v>-16516778</v>
      </c>
    </row>
    <row r="113" spans="1:8" ht="24" customHeight="1" x14ac:dyDescent="0.2">
      <c r="A113" s="85">
        <v>17</v>
      </c>
      <c r="B113" s="75" t="s">
        <v>88</v>
      </c>
      <c r="C113" s="218">
        <v>1196363</v>
      </c>
      <c r="D113" s="76">
        <v>1330630</v>
      </c>
      <c r="E113" s="76">
        <v>1399297</v>
      </c>
    </row>
    <row r="114" spans="1:8" ht="24" customHeight="1" x14ac:dyDescent="0.2">
      <c r="A114" s="85">
        <v>18</v>
      </c>
      <c r="B114" s="75" t="s">
        <v>374</v>
      </c>
      <c r="C114" s="218">
        <v>7077295</v>
      </c>
      <c r="D114" s="76">
        <v>6812424</v>
      </c>
      <c r="E114" s="76">
        <v>6440534</v>
      </c>
    </row>
    <row r="115" spans="1:8" ht="24" customHeight="1" x14ac:dyDescent="0.2">
      <c r="A115" s="85">
        <v>19</v>
      </c>
      <c r="B115" s="75" t="s">
        <v>104</v>
      </c>
      <c r="C115" s="218">
        <v>1173560</v>
      </c>
      <c r="D115" s="76">
        <v>1131501</v>
      </c>
      <c r="E115" s="76">
        <v>27084414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33.418088549368086</v>
      </c>
      <c r="D119" s="214">
        <f>IF(+D121=0,0,(+D120)/(+D121))</f>
        <v>35.70032135404373</v>
      </c>
      <c r="E119" s="214">
        <f>IF(+E121=0,0,(+E120)/(+E121))</f>
        <v>38.69337759881401</v>
      </c>
    </row>
    <row r="120" spans="1:8" ht="24" customHeight="1" x14ac:dyDescent="0.2">
      <c r="A120" s="85">
        <v>21</v>
      </c>
      <c r="B120" s="75" t="s">
        <v>378</v>
      </c>
      <c r="C120" s="218">
        <v>236509671</v>
      </c>
      <c r="D120" s="218">
        <v>243205726</v>
      </c>
      <c r="E120" s="218">
        <v>249206014</v>
      </c>
    </row>
    <row r="121" spans="1:8" ht="24" customHeight="1" x14ac:dyDescent="0.2">
      <c r="A121" s="85">
        <v>22</v>
      </c>
      <c r="B121" s="75" t="s">
        <v>374</v>
      </c>
      <c r="C121" s="218">
        <v>7077295</v>
      </c>
      <c r="D121" s="218">
        <v>6812424</v>
      </c>
      <c r="E121" s="218">
        <v>6440534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58082</v>
      </c>
      <c r="D124" s="218">
        <v>55390</v>
      </c>
      <c r="E124" s="218">
        <v>52586</v>
      </c>
    </row>
    <row r="125" spans="1:8" ht="24" customHeight="1" x14ac:dyDescent="0.2">
      <c r="A125" s="85">
        <v>2</v>
      </c>
      <c r="B125" s="75" t="s">
        <v>381</v>
      </c>
      <c r="C125" s="218">
        <v>11693</v>
      </c>
      <c r="D125" s="218">
        <v>11646</v>
      </c>
      <c r="E125" s="218">
        <v>11646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4.9672453604720772</v>
      </c>
      <c r="D126" s="219">
        <f>IF(D125=0,0,D124/D125)</f>
        <v>4.7561394470204359</v>
      </c>
      <c r="E126" s="219">
        <f>IF(E125=0,0,E124/E125)</f>
        <v>4.5153700841490645</v>
      </c>
    </row>
    <row r="127" spans="1:8" ht="24" customHeight="1" x14ac:dyDescent="0.2">
      <c r="A127" s="85">
        <v>4</v>
      </c>
      <c r="B127" s="75" t="s">
        <v>383</v>
      </c>
      <c r="C127" s="218">
        <v>176</v>
      </c>
      <c r="D127" s="218">
        <v>180</v>
      </c>
      <c r="E127" s="218">
        <v>243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282</v>
      </c>
      <c r="E128" s="218">
        <v>282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290</v>
      </c>
      <c r="D129" s="218">
        <v>393</v>
      </c>
      <c r="E129" s="218">
        <v>393</v>
      </c>
    </row>
    <row r="130" spans="1:7" ht="24" customHeight="1" x14ac:dyDescent="0.2">
      <c r="A130" s="85">
        <v>7</v>
      </c>
      <c r="B130" s="75" t="s">
        <v>386</v>
      </c>
      <c r="C130" s="193">
        <v>0.90410000000000001</v>
      </c>
      <c r="D130" s="193">
        <v>0.84299999999999997</v>
      </c>
      <c r="E130" s="193">
        <v>0.59279999999999999</v>
      </c>
    </row>
    <row r="131" spans="1:7" ht="24" customHeight="1" x14ac:dyDescent="0.2">
      <c r="A131" s="85">
        <v>8</v>
      </c>
      <c r="B131" s="75" t="s">
        <v>387</v>
      </c>
      <c r="C131" s="193">
        <v>0.54869999999999997</v>
      </c>
      <c r="D131" s="193">
        <v>0.53810000000000002</v>
      </c>
      <c r="E131" s="193">
        <v>0.51080000000000003</v>
      </c>
    </row>
    <row r="132" spans="1:7" ht="24" customHeight="1" x14ac:dyDescent="0.2">
      <c r="A132" s="85">
        <v>9</v>
      </c>
      <c r="B132" s="75" t="s">
        <v>388</v>
      </c>
      <c r="C132" s="219">
        <v>1151.5</v>
      </c>
      <c r="D132" s="219">
        <v>1120.7</v>
      </c>
      <c r="E132" s="219">
        <v>1130.9000000000001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0.30796213347484042</v>
      </c>
      <c r="D135" s="227">
        <f>IF(D149=0,0,D143/D149)</f>
        <v>0.29815643310084511</v>
      </c>
      <c r="E135" s="227">
        <f>IF(E149=0,0,E143/E149)</f>
        <v>0.29311285875650822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0.46931362883833799</v>
      </c>
      <c r="D136" s="227">
        <f>IF(D149=0,0,D144/D149)</f>
        <v>0.46773227508027387</v>
      </c>
      <c r="E136" s="227">
        <f>IF(E149=0,0,E144/E149)</f>
        <v>0.45878172486504787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0.20953967667367707</v>
      </c>
      <c r="D137" s="227">
        <f>IF(D149=0,0,D145/D149)</f>
        <v>0.22278774845747057</v>
      </c>
      <c r="E137" s="227">
        <f>IF(E149=0,0,E145/E149)</f>
        <v>0.23454810911024357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1.1824641169223736E-2</v>
      </c>
      <c r="D139" s="227">
        <f>IF(D149=0,0,D147/D149)</f>
        <v>9.6059621950164032E-3</v>
      </c>
      <c r="E139" s="227">
        <f>IF(E149=0,0,E147/E149)</f>
        <v>1.2237172116178432E-2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1.359919843920756E-3</v>
      </c>
      <c r="D140" s="227">
        <f>IF(D149=0,0,D148/D149)</f>
        <v>1.7175811663940603E-3</v>
      </c>
      <c r="E140" s="227">
        <f>IF(E149=0,0,E148/E149)</f>
        <v>1.3201351520219081E-3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278852144</v>
      </c>
      <c r="D143" s="229">
        <f>+D46-D147</f>
        <v>273188133</v>
      </c>
      <c r="E143" s="229">
        <f>+E46-E147</f>
        <v>271643174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424951958</v>
      </c>
      <c r="D144" s="229">
        <f>+D51</f>
        <v>428563307</v>
      </c>
      <c r="E144" s="229">
        <f>+E51</f>
        <v>425177266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189733028</v>
      </c>
      <c r="D145" s="229">
        <f>+D55</f>
        <v>204130994</v>
      </c>
      <c r="E145" s="229">
        <f>+E55</f>
        <v>217368126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10706922</v>
      </c>
      <c r="D147" s="229">
        <f>+D47</f>
        <v>8801537</v>
      </c>
      <c r="E147" s="229">
        <f>+E47</f>
        <v>11340834</v>
      </c>
    </row>
    <row r="148" spans="1:7" ht="20.100000000000001" customHeight="1" x14ac:dyDescent="0.2">
      <c r="A148" s="226">
        <v>13</v>
      </c>
      <c r="B148" s="224" t="s">
        <v>402</v>
      </c>
      <c r="C148" s="230">
        <v>1231374</v>
      </c>
      <c r="D148" s="229">
        <v>1573747</v>
      </c>
      <c r="E148" s="229">
        <v>1223439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905475426</v>
      </c>
      <c r="D149" s="229">
        <f>SUM(D143:D148)</f>
        <v>916257718</v>
      </c>
      <c r="E149" s="229">
        <f>SUM(E143:E148)</f>
        <v>926752839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0.42579988649196632</v>
      </c>
      <c r="D152" s="227">
        <f>IF(D166=0,0,D160/D166)</f>
        <v>0.38397815261920826</v>
      </c>
      <c r="E152" s="227">
        <f>IF(E166=0,0,E160/E166)</f>
        <v>0.33969409369589582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0.41836969023273241</v>
      </c>
      <c r="D153" s="227">
        <f>IF(D166=0,0,D161/D166)</f>
        <v>0.41147671628165661</v>
      </c>
      <c r="E153" s="227">
        <f>IF(E166=0,0,E161/E166)</f>
        <v>0.45537981239292463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0.1500523774609322</v>
      </c>
      <c r="D154" s="227">
        <f>IF(D166=0,0,D162/D166)</f>
        <v>0.19630807656038435</v>
      </c>
      <c r="E154" s="227">
        <f>IF(E166=0,0,E162/E166)</f>
        <v>0.18651581141962487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4.4552157152213884E-3</v>
      </c>
      <c r="D156" s="227">
        <f>IF(D166=0,0,D164/D166)</f>
        <v>6.9649297308380072E-3</v>
      </c>
      <c r="E156" s="227">
        <f>IF(E166=0,0,E164/E166)</f>
        <v>1.6172614512399482E-2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1.3228300991476806E-3</v>
      </c>
      <c r="D157" s="227">
        <f>IF(D166=0,0,D165/D166)</f>
        <v>1.2721248079128067E-3</v>
      </c>
      <c r="E157" s="227">
        <f>IF(E166=0,0,E165/E166)</f>
        <v>2.2376679791552383E-3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89707248</v>
      </c>
      <c r="D160" s="229">
        <f>+D44-D164</f>
        <v>76948675</v>
      </c>
      <c r="E160" s="229">
        <f>+E44-E164</f>
        <v>72103255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88141859</v>
      </c>
      <c r="D161" s="229">
        <f>+D50</f>
        <v>82459348</v>
      </c>
      <c r="E161" s="229">
        <f>+E50</f>
        <v>96658633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31612939</v>
      </c>
      <c r="D162" s="229">
        <f>+D54</f>
        <v>39339859</v>
      </c>
      <c r="E162" s="229">
        <f>+E54</f>
        <v>39589729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938622</v>
      </c>
      <c r="D164" s="229">
        <f>+D45</f>
        <v>1395762</v>
      </c>
      <c r="E164" s="229">
        <f>+E45</f>
        <v>3432789</v>
      </c>
    </row>
    <row r="165" spans="1:6" ht="20.100000000000001" customHeight="1" x14ac:dyDescent="0.2">
      <c r="A165" s="226">
        <v>13</v>
      </c>
      <c r="B165" s="224" t="s">
        <v>417</v>
      </c>
      <c r="C165" s="230">
        <v>278693</v>
      </c>
      <c r="D165" s="229">
        <v>254932</v>
      </c>
      <c r="E165" s="229">
        <v>474966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210679361</v>
      </c>
      <c r="D166" s="229">
        <f>SUM(D160:D165)</f>
        <v>200398576</v>
      </c>
      <c r="E166" s="229">
        <f>SUM(E160:E165)</f>
        <v>212259372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3089</v>
      </c>
      <c r="D169" s="218">
        <v>2897</v>
      </c>
      <c r="E169" s="218">
        <v>2753</v>
      </c>
    </row>
    <row r="170" spans="1:6" ht="20.100000000000001" customHeight="1" x14ac:dyDescent="0.2">
      <c r="A170" s="226">
        <v>2</v>
      </c>
      <c r="B170" s="224" t="s">
        <v>420</v>
      </c>
      <c r="C170" s="218">
        <v>5396</v>
      </c>
      <c r="D170" s="218">
        <v>5403</v>
      </c>
      <c r="E170" s="218">
        <v>5288</v>
      </c>
    </row>
    <row r="171" spans="1:6" ht="20.100000000000001" customHeight="1" x14ac:dyDescent="0.2">
      <c r="A171" s="226">
        <v>3</v>
      </c>
      <c r="B171" s="224" t="s">
        <v>421</v>
      </c>
      <c r="C171" s="218">
        <v>3186</v>
      </c>
      <c r="D171" s="218">
        <v>3324</v>
      </c>
      <c r="E171" s="218">
        <v>3582</v>
      </c>
    </row>
    <row r="172" spans="1:6" ht="20.100000000000001" customHeight="1" x14ac:dyDescent="0.2">
      <c r="A172" s="226">
        <v>4</v>
      </c>
      <c r="B172" s="224" t="s">
        <v>422</v>
      </c>
      <c r="C172" s="218">
        <v>3186</v>
      </c>
      <c r="D172" s="218">
        <v>3324</v>
      </c>
      <c r="E172" s="218">
        <v>3582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22</v>
      </c>
      <c r="D174" s="218">
        <v>22</v>
      </c>
      <c r="E174" s="218">
        <v>23</v>
      </c>
    </row>
    <row r="175" spans="1:6" ht="20.100000000000001" customHeight="1" x14ac:dyDescent="0.2">
      <c r="A175" s="226">
        <v>7</v>
      </c>
      <c r="B175" s="224" t="s">
        <v>425</v>
      </c>
      <c r="C175" s="218">
        <v>113</v>
      </c>
      <c r="D175" s="218">
        <v>101</v>
      </c>
      <c r="E175" s="218">
        <v>99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11693</v>
      </c>
      <c r="D176" s="218">
        <f>+D169+D170+D171+D174</f>
        <v>11646</v>
      </c>
      <c r="E176" s="218">
        <f>+E169+E170+E171+E174</f>
        <v>11646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1.2622</v>
      </c>
      <c r="D179" s="231">
        <v>1.2577</v>
      </c>
      <c r="E179" s="231">
        <v>1.3774</v>
      </c>
    </row>
    <row r="180" spans="1:6" ht="20.100000000000001" customHeight="1" x14ac:dyDescent="0.2">
      <c r="A180" s="226">
        <v>2</v>
      </c>
      <c r="B180" s="224" t="s">
        <v>420</v>
      </c>
      <c r="C180" s="231">
        <v>1.5149999999999999</v>
      </c>
      <c r="D180" s="231">
        <v>1.4592000000000001</v>
      </c>
      <c r="E180" s="231">
        <v>1.593</v>
      </c>
    </row>
    <row r="181" spans="1:6" ht="20.100000000000001" customHeight="1" x14ac:dyDescent="0.2">
      <c r="A181" s="226">
        <v>3</v>
      </c>
      <c r="B181" s="224" t="s">
        <v>421</v>
      </c>
      <c r="C181" s="231">
        <v>1.0216000000000001</v>
      </c>
      <c r="D181" s="231">
        <v>0.97370000000000001</v>
      </c>
      <c r="E181" s="231">
        <v>1.0906</v>
      </c>
    </row>
    <row r="182" spans="1:6" ht="20.100000000000001" customHeight="1" x14ac:dyDescent="0.2">
      <c r="A182" s="226">
        <v>4</v>
      </c>
      <c r="B182" s="224" t="s">
        <v>422</v>
      </c>
      <c r="C182" s="231">
        <v>1.0216000000000001</v>
      </c>
      <c r="D182" s="231">
        <v>0.97370000000000001</v>
      </c>
      <c r="E182" s="231">
        <v>1.0906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0.87480000000000002</v>
      </c>
      <c r="D184" s="231">
        <v>0.91200000000000003</v>
      </c>
      <c r="E184" s="231">
        <v>0.98250000000000004</v>
      </c>
    </row>
    <row r="185" spans="1:6" ht="20.100000000000001" customHeight="1" x14ac:dyDescent="0.2">
      <c r="A185" s="226">
        <v>7</v>
      </c>
      <c r="B185" s="224" t="s">
        <v>425</v>
      </c>
      <c r="C185" s="231">
        <v>1.0509999999999999</v>
      </c>
      <c r="D185" s="231">
        <v>1.0122</v>
      </c>
      <c r="E185" s="231">
        <v>1.1895</v>
      </c>
    </row>
    <row r="186" spans="1:6" ht="20.100000000000001" customHeight="1" x14ac:dyDescent="0.2">
      <c r="A186" s="226">
        <v>8</v>
      </c>
      <c r="B186" s="224" t="s">
        <v>429</v>
      </c>
      <c r="C186" s="231">
        <v>1.3125739999999999</v>
      </c>
      <c r="D186" s="231">
        <v>1.2694700000000001</v>
      </c>
      <c r="E186" s="231">
        <v>1.3863030000000001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8097</v>
      </c>
      <c r="D189" s="218">
        <v>8080</v>
      </c>
      <c r="E189" s="218">
        <v>7751</v>
      </c>
    </row>
    <row r="190" spans="1:6" ht="20.100000000000001" customHeight="1" x14ac:dyDescent="0.2">
      <c r="A190" s="226">
        <v>2</v>
      </c>
      <c r="B190" s="224" t="s">
        <v>433</v>
      </c>
      <c r="C190" s="218">
        <v>45587</v>
      </c>
      <c r="D190" s="218">
        <v>42573</v>
      </c>
      <c r="E190" s="218">
        <v>39356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53684</v>
      </c>
      <c r="D191" s="218">
        <f>+D190+D189</f>
        <v>50653</v>
      </c>
      <c r="E191" s="218">
        <f>+E190+E189</f>
        <v>47107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abSelected="1" zoomScale="75" workbookViewId="0">
      <selection sqref="A1:F1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2482578</v>
      </c>
      <c r="D14" s="258">
        <v>10357018</v>
      </c>
      <c r="E14" s="258">
        <f t="shared" ref="E14:E24" si="0">D14-C14</f>
        <v>7874440</v>
      </c>
      <c r="F14" s="259">
        <f t="shared" ref="F14:F24" si="1">IF(C14=0,0,E14/C14)</f>
        <v>3.171880198728902</v>
      </c>
    </row>
    <row r="15" spans="1:7" ht="20.25" customHeight="1" x14ac:dyDescent="0.3">
      <c r="A15" s="256">
        <v>2</v>
      </c>
      <c r="B15" s="257" t="s">
        <v>442</v>
      </c>
      <c r="C15" s="258">
        <v>618725</v>
      </c>
      <c r="D15" s="258">
        <v>2603934</v>
      </c>
      <c r="E15" s="258">
        <f t="shared" si="0"/>
        <v>1985209</v>
      </c>
      <c r="F15" s="259">
        <f t="shared" si="1"/>
        <v>3.2085482241706735</v>
      </c>
    </row>
    <row r="16" spans="1:7" ht="20.25" customHeight="1" x14ac:dyDescent="0.3">
      <c r="A16" s="256">
        <v>3</v>
      </c>
      <c r="B16" s="257" t="s">
        <v>443</v>
      </c>
      <c r="C16" s="258">
        <v>1869890</v>
      </c>
      <c r="D16" s="258">
        <v>6912390</v>
      </c>
      <c r="E16" s="258">
        <f t="shared" si="0"/>
        <v>5042500</v>
      </c>
      <c r="F16" s="259">
        <f t="shared" si="1"/>
        <v>2.6966826925648033</v>
      </c>
    </row>
    <row r="17" spans="1:6" ht="20.25" customHeight="1" x14ac:dyDescent="0.3">
      <c r="A17" s="256">
        <v>4</v>
      </c>
      <c r="B17" s="257" t="s">
        <v>444</v>
      </c>
      <c r="C17" s="258">
        <v>300296</v>
      </c>
      <c r="D17" s="258">
        <v>960371</v>
      </c>
      <c r="E17" s="258">
        <f t="shared" si="0"/>
        <v>660075</v>
      </c>
      <c r="F17" s="259">
        <f t="shared" si="1"/>
        <v>2.198081226523164</v>
      </c>
    </row>
    <row r="18" spans="1:6" ht="20.25" customHeight="1" x14ac:dyDescent="0.3">
      <c r="A18" s="256">
        <v>5</v>
      </c>
      <c r="B18" s="257" t="s">
        <v>381</v>
      </c>
      <c r="C18" s="260">
        <v>44</v>
      </c>
      <c r="D18" s="260">
        <v>217</v>
      </c>
      <c r="E18" s="260">
        <f t="shared" si="0"/>
        <v>173</v>
      </c>
      <c r="F18" s="259">
        <f t="shared" si="1"/>
        <v>3.9318181818181817</v>
      </c>
    </row>
    <row r="19" spans="1:6" ht="20.25" customHeight="1" x14ac:dyDescent="0.3">
      <c r="A19" s="256">
        <v>6</v>
      </c>
      <c r="B19" s="257" t="s">
        <v>380</v>
      </c>
      <c r="C19" s="260">
        <v>237</v>
      </c>
      <c r="D19" s="260">
        <v>990</v>
      </c>
      <c r="E19" s="260">
        <f t="shared" si="0"/>
        <v>753</v>
      </c>
      <c r="F19" s="259">
        <f t="shared" si="1"/>
        <v>3.1772151898734178</v>
      </c>
    </row>
    <row r="20" spans="1:6" ht="20.25" customHeight="1" x14ac:dyDescent="0.3">
      <c r="A20" s="256">
        <v>7</v>
      </c>
      <c r="B20" s="257" t="s">
        <v>445</v>
      </c>
      <c r="C20" s="260">
        <v>485</v>
      </c>
      <c r="D20" s="260">
        <v>1897</v>
      </c>
      <c r="E20" s="260">
        <f t="shared" si="0"/>
        <v>1412</v>
      </c>
      <c r="F20" s="259">
        <f t="shared" si="1"/>
        <v>2.9113402061855669</v>
      </c>
    </row>
    <row r="21" spans="1:6" ht="20.25" customHeight="1" x14ac:dyDescent="0.3">
      <c r="A21" s="256">
        <v>8</v>
      </c>
      <c r="B21" s="257" t="s">
        <v>446</v>
      </c>
      <c r="C21" s="260">
        <v>101</v>
      </c>
      <c r="D21" s="260">
        <v>557</v>
      </c>
      <c r="E21" s="260">
        <f t="shared" si="0"/>
        <v>456</v>
      </c>
      <c r="F21" s="259">
        <f t="shared" si="1"/>
        <v>4.5148514851485144</v>
      </c>
    </row>
    <row r="22" spans="1:6" ht="20.25" customHeight="1" x14ac:dyDescent="0.3">
      <c r="A22" s="256">
        <v>9</v>
      </c>
      <c r="B22" s="257" t="s">
        <v>447</v>
      </c>
      <c r="C22" s="260">
        <v>35</v>
      </c>
      <c r="D22" s="260">
        <v>189</v>
      </c>
      <c r="E22" s="260">
        <f t="shared" si="0"/>
        <v>154</v>
      </c>
      <c r="F22" s="259">
        <f t="shared" si="1"/>
        <v>4.4000000000000004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4352468</v>
      </c>
      <c r="D23" s="263">
        <f>+D14+D16</f>
        <v>17269408</v>
      </c>
      <c r="E23" s="263">
        <f t="shared" si="0"/>
        <v>12916940</v>
      </c>
      <c r="F23" s="264">
        <f t="shared" si="1"/>
        <v>2.9677277351608331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919021</v>
      </c>
      <c r="D24" s="263">
        <f>+D15+D17</f>
        <v>3564305</v>
      </c>
      <c r="E24" s="263">
        <f t="shared" si="0"/>
        <v>2645284</v>
      </c>
      <c r="F24" s="264">
        <f t="shared" si="1"/>
        <v>2.8783716585366386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22971295</v>
      </c>
      <c r="D40" s="258">
        <v>22447680</v>
      </c>
      <c r="E40" s="258">
        <f t="shared" ref="E40:E50" si="4">D40-C40</f>
        <v>-523615</v>
      </c>
      <c r="F40" s="259">
        <f t="shared" ref="F40:F50" si="5">IF(C40=0,0,E40/C40)</f>
        <v>-2.2794317864970173E-2</v>
      </c>
    </row>
    <row r="41" spans="1:6" ht="20.25" customHeight="1" x14ac:dyDescent="0.3">
      <c r="A41" s="256">
        <v>2</v>
      </c>
      <c r="B41" s="257" t="s">
        <v>442</v>
      </c>
      <c r="C41" s="258">
        <v>4768748</v>
      </c>
      <c r="D41" s="258">
        <v>5404235</v>
      </c>
      <c r="E41" s="258">
        <f t="shared" si="4"/>
        <v>635487</v>
      </c>
      <c r="F41" s="259">
        <f t="shared" si="5"/>
        <v>0.13326076362181435</v>
      </c>
    </row>
    <row r="42" spans="1:6" ht="20.25" customHeight="1" x14ac:dyDescent="0.3">
      <c r="A42" s="256">
        <v>3</v>
      </c>
      <c r="B42" s="257" t="s">
        <v>443</v>
      </c>
      <c r="C42" s="258">
        <v>13442532</v>
      </c>
      <c r="D42" s="258">
        <v>13786613</v>
      </c>
      <c r="E42" s="258">
        <f t="shared" si="4"/>
        <v>344081</v>
      </c>
      <c r="F42" s="259">
        <f t="shared" si="5"/>
        <v>2.5596442693980568E-2</v>
      </c>
    </row>
    <row r="43" spans="1:6" ht="20.25" customHeight="1" x14ac:dyDescent="0.3">
      <c r="A43" s="256">
        <v>4</v>
      </c>
      <c r="B43" s="257" t="s">
        <v>444</v>
      </c>
      <c r="C43" s="258">
        <v>2262952</v>
      </c>
      <c r="D43" s="258">
        <v>1872114</v>
      </c>
      <c r="E43" s="258">
        <f t="shared" si="4"/>
        <v>-390838</v>
      </c>
      <c r="F43" s="259">
        <f t="shared" si="5"/>
        <v>-0.17271157320172942</v>
      </c>
    </row>
    <row r="44" spans="1:6" ht="20.25" customHeight="1" x14ac:dyDescent="0.3">
      <c r="A44" s="256">
        <v>5</v>
      </c>
      <c r="B44" s="257" t="s">
        <v>381</v>
      </c>
      <c r="C44" s="260">
        <v>398</v>
      </c>
      <c r="D44" s="260">
        <v>391</v>
      </c>
      <c r="E44" s="260">
        <f t="shared" si="4"/>
        <v>-7</v>
      </c>
      <c r="F44" s="259">
        <f t="shared" si="5"/>
        <v>-1.7587939698492462E-2</v>
      </c>
    </row>
    <row r="45" spans="1:6" ht="20.25" customHeight="1" x14ac:dyDescent="0.3">
      <c r="A45" s="256">
        <v>6</v>
      </c>
      <c r="B45" s="257" t="s">
        <v>380</v>
      </c>
      <c r="C45" s="260">
        <v>2065</v>
      </c>
      <c r="D45" s="260">
        <v>1928</v>
      </c>
      <c r="E45" s="260">
        <f t="shared" si="4"/>
        <v>-137</v>
      </c>
      <c r="F45" s="259">
        <f t="shared" si="5"/>
        <v>-6.6343825665859571E-2</v>
      </c>
    </row>
    <row r="46" spans="1:6" ht="20.25" customHeight="1" x14ac:dyDescent="0.3">
      <c r="A46" s="256">
        <v>7</v>
      </c>
      <c r="B46" s="257" t="s">
        <v>445</v>
      </c>
      <c r="C46" s="260">
        <v>4760</v>
      </c>
      <c r="D46" s="260">
        <v>4534</v>
      </c>
      <c r="E46" s="260">
        <f t="shared" si="4"/>
        <v>-226</v>
      </c>
      <c r="F46" s="259">
        <f t="shared" si="5"/>
        <v>-4.7478991596638653E-2</v>
      </c>
    </row>
    <row r="47" spans="1:6" ht="20.25" customHeight="1" x14ac:dyDescent="0.3">
      <c r="A47" s="256">
        <v>8</v>
      </c>
      <c r="B47" s="257" t="s">
        <v>446</v>
      </c>
      <c r="C47" s="260">
        <v>512</v>
      </c>
      <c r="D47" s="260">
        <v>499</v>
      </c>
      <c r="E47" s="260">
        <f t="shared" si="4"/>
        <v>-13</v>
      </c>
      <c r="F47" s="259">
        <f t="shared" si="5"/>
        <v>-2.5390625E-2</v>
      </c>
    </row>
    <row r="48" spans="1:6" ht="20.25" customHeight="1" x14ac:dyDescent="0.3">
      <c r="A48" s="256">
        <v>9</v>
      </c>
      <c r="B48" s="257" t="s">
        <v>447</v>
      </c>
      <c r="C48" s="260">
        <v>326</v>
      </c>
      <c r="D48" s="260">
        <v>323</v>
      </c>
      <c r="E48" s="260">
        <f t="shared" si="4"/>
        <v>-3</v>
      </c>
      <c r="F48" s="259">
        <f t="shared" si="5"/>
        <v>-9.202453987730062E-3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36413827</v>
      </c>
      <c r="D49" s="263">
        <f>+D40+D42</f>
        <v>36234293</v>
      </c>
      <c r="E49" s="263">
        <f t="shared" si="4"/>
        <v>-179534</v>
      </c>
      <c r="F49" s="264">
        <f t="shared" si="5"/>
        <v>-4.9303798801482741E-3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7031700</v>
      </c>
      <c r="D50" s="263">
        <f>+D41+D43</f>
        <v>7276349</v>
      </c>
      <c r="E50" s="263">
        <f t="shared" si="4"/>
        <v>244649</v>
      </c>
      <c r="F50" s="264">
        <f t="shared" si="5"/>
        <v>3.4792297737389254E-2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533648</v>
      </c>
      <c r="D66" s="258">
        <v>874575</v>
      </c>
      <c r="E66" s="258">
        <f t="shared" ref="E66:E76" si="8">D66-C66</f>
        <v>340927</v>
      </c>
      <c r="F66" s="259">
        <f t="shared" ref="F66:F76" si="9">IF(C66=0,0,E66/C66)</f>
        <v>0.63886119689383258</v>
      </c>
    </row>
    <row r="67" spans="1:6" ht="20.25" customHeight="1" x14ac:dyDescent="0.3">
      <c r="A67" s="256">
        <v>2</v>
      </c>
      <c r="B67" s="257" t="s">
        <v>442</v>
      </c>
      <c r="C67" s="258">
        <v>82047</v>
      </c>
      <c r="D67" s="258">
        <v>166471</v>
      </c>
      <c r="E67" s="258">
        <f t="shared" si="8"/>
        <v>84424</v>
      </c>
      <c r="F67" s="259">
        <f t="shared" si="9"/>
        <v>1.0289711994344706</v>
      </c>
    </row>
    <row r="68" spans="1:6" ht="20.25" customHeight="1" x14ac:dyDescent="0.3">
      <c r="A68" s="256">
        <v>3</v>
      </c>
      <c r="B68" s="257" t="s">
        <v>443</v>
      </c>
      <c r="C68" s="258">
        <v>221789</v>
      </c>
      <c r="D68" s="258">
        <v>186700</v>
      </c>
      <c r="E68" s="258">
        <f t="shared" si="8"/>
        <v>-35089</v>
      </c>
      <c r="F68" s="259">
        <f t="shared" si="9"/>
        <v>-0.15820892830573202</v>
      </c>
    </row>
    <row r="69" spans="1:6" ht="20.25" customHeight="1" x14ac:dyDescent="0.3">
      <c r="A69" s="256">
        <v>4</v>
      </c>
      <c r="B69" s="257" t="s">
        <v>444</v>
      </c>
      <c r="C69" s="258">
        <v>47551</v>
      </c>
      <c r="D69" s="258">
        <v>26653</v>
      </c>
      <c r="E69" s="258">
        <f t="shared" si="8"/>
        <v>-20898</v>
      </c>
      <c r="F69" s="259">
        <f t="shared" si="9"/>
        <v>-0.43948602553048305</v>
      </c>
    </row>
    <row r="70" spans="1:6" ht="20.25" customHeight="1" x14ac:dyDescent="0.3">
      <c r="A70" s="256">
        <v>5</v>
      </c>
      <c r="B70" s="257" t="s">
        <v>381</v>
      </c>
      <c r="C70" s="260">
        <v>10</v>
      </c>
      <c r="D70" s="260">
        <v>12</v>
      </c>
      <c r="E70" s="260">
        <f t="shared" si="8"/>
        <v>2</v>
      </c>
      <c r="F70" s="259">
        <f t="shared" si="9"/>
        <v>0.2</v>
      </c>
    </row>
    <row r="71" spans="1:6" ht="20.25" customHeight="1" x14ac:dyDescent="0.3">
      <c r="A71" s="256">
        <v>6</v>
      </c>
      <c r="B71" s="257" t="s">
        <v>380</v>
      </c>
      <c r="C71" s="260">
        <v>100</v>
      </c>
      <c r="D71" s="260">
        <v>110</v>
      </c>
      <c r="E71" s="260">
        <f t="shared" si="8"/>
        <v>10</v>
      </c>
      <c r="F71" s="259">
        <f t="shared" si="9"/>
        <v>0.1</v>
      </c>
    </row>
    <row r="72" spans="1:6" ht="20.25" customHeight="1" x14ac:dyDescent="0.3">
      <c r="A72" s="256">
        <v>7</v>
      </c>
      <c r="B72" s="257" t="s">
        <v>445</v>
      </c>
      <c r="C72" s="260">
        <v>49</v>
      </c>
      <c r="D72" s="260">
        <v>14</v>
      </c>
      <c r="E72" s="260">
        <f t="shared" si="8"/>
        <v>-35</v>
      </c>
      <c r="F72" s="259">
        <f t="shared" si="9"/>
        <v>-0.7142857142857143</v>
      </c>
    </row>
    <row r="73" spans="1:6" ht="20.25" customHeight="1" x14ac:dyDescent="0.3">
      <c r="A73" s="256">
        <v>8</v>
      </c>
      <c r="B73" s="257" t="s">
        <v>446</v>
      </c>
      <c r="C73" s="260">
        <v>60</v>
      </c>
      <c r="D73" s="260">
        <v>42</v>
      </c>
      <c r="E73" s="260">
        <f t="shared" si="8"/>
        <v>-18</v>
      </c>
      <c r="F73" s="259">
        <f t="shared" si="9"/>
        <v>-0.3</v>
      </c>
    </row>
    <row r="74" spans="1:6" ht="20.25" customHeight="1" x14ac:dyDescent="0.3">
      <c r="A74" s="256">
        <v>9</v>
      </c>
      <c r="B74" s="257" t="s">
        <v>447</v>
      </c>
      <c r="C74" s="260">
        <v>10</v>
      </c>
      <c r="D74" s="260">
        <v>12</v>
      </c>
      <c r="E74" s="260">
        <f t="shared" si="8"/>
        <v>2</v>
      </c>
      <c r="F74" s="259">
        <f t="shared" si="9"/>
        <v>0.2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755437</v>
      </c>
      <c r="D75" s="263">
        <f>+D66+D68</f>
        <v>1061275</v>
      </c>
      <c r="E75" s="263">
        <f t="shared" si="8"/>
        <v>305838</v>
      </c>
      <c r="F75" s="264">
        <f t="shared" si="9"/>
        <v>0.40484911382418387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129598</v>
      </c>
      <c r="D76" s="263">
        <f>+D67+D69</f>
        <v>193124</v>
      </c>
      <c r="E76" s="263">
        <f t="shared" si="8"/>
        <v>63526</v>
      </c>
      <c r="F76" s="264">
        <f t="shared" si="9"/>
        <v>0.49017731755119676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12034933</v>
      </c>
      <c r="D92" s="258">
        <v>13311889</v>
      </c>
      <c r="E92" s="258">
        <f t="shared" ref="E92:E102" si="12">D92-C92</f>
        <v>1276956</v>
      </c>
      <c r="F92" s="259">
        <f t="shared" ref="F92:F102" si="13">IF(C92=0,0,E92/C92)</f>
        <v>0.10610412205867702</v>
      </c>
    </row>
    <row r="93" spans="1:6" ht="20.25" customHeight="1" x14ac:dyDescent="0.3">
      <c r="A93" s="256">
        <v>2</v>
      </c>
      <c r="B93" s="257" t="s">
        <v>442</v>
      </c>
      <c r="C93" s="258">
        <v>2792154</v>
      </c>
      <c r="D93" s="258">
        <v>3432400</v>
      </c>
      <c r="E93" s="258">
        <f t="shared" si="12"/>
        <v>640246</v>
      </c>
      <c r="F93" s="259">
        <f t="shared" si="13"/>
        <v>0.22930182217743003</v>
      </c>
    </row>
    <row r="94" spans="1:6" ht="20.25" customHeight="1" x14ac:dyDescent="0.3">
      <c r="A94" s="256">
        <v>3</v>
      </c>
      <c r="B94" s="257" t="s">
        <v>443</v>
      </c>
      <c r="C94" s="258">
        <v>5992689</v>
      </c>
      <c r="D94" s="258">
        <v>6209506</v>
      </c>
      <c r="E94" s="258">
        <f t="shared" si="12"/>
        <v>216817</v>
      </c>
      <c r="F94" s="259">
        <f t="shared" si="13"/>
        <v>3.6180252304099214E-2</v>
      </c>
    </row>
    <row r="95" spans="1:6" ht="20.25" customHeight="1" x14ac:dyDescent="0.3">
      <c r="A95" s="256">
        <v>4</v>
      </c>
      <c r="B95" s="257" t="s">
        <v>444</v>
      </c>
      <c r="C95" s="258">
        <v>1074807</v>
      </c>
      <c r="D95" s="258">
        <v>917462</v>
      </c>
      <c r="E95" s="258">
        <f t="shared" si="12"/>
        <v>-157345</v>
      </c>
      <c r="F95" s="259">
        <f t="shared" si="13"/>
        <v>-0.14639372464079597</v>
      </c>
    </row>
    <row r="96" spans="1:6" ht="20.25" customHeight="1" x14ac:dyDescent="0.3">
      <c r="A96" s="256">
        <v>5</v>
      </c>
      <c r="B96" s="257" t="s">
        <v>381</v>
      </c>
      <c r="C96" s="260">
        <v>273</v>
      </c>
      <c r="D96" s="260">
        <v>258</v>
      </c>
      <c r="E96" s="260">
        <f t="shared" si="12"/>
        <v>-15</v>
      </c>
      <c r="F96" s="259">
        <f t="shared" si="13"/>
        <v>-5.4945054945054944E-2</v>
      </c>
    </row>
    <row r="97" spans="1:6" ht="20.25" customHeight="1" x14ac:dyDescent="0.3">
      <c r="A97" s="256">
        <v>6</v>
      </c>
      <c r="B97" s="257" t="s">
        <v>380</v>
      </c>
      <c r="C97" s="260">
        <v>1264</v>
      </c>
      <c r="D97" s="260">
        <v>1243</v>
      </c>
      <c r="E97" s="260">
        <f t="shared" si="12"/>
        <v>-21</v>
      </c>
      <c r="F97" s="259">
        <f t="shared" si="13"/>
        <v>-1.661392405063291E-2</v>
      </c>
    </row>
    <row r="98" spans="1:6" ht="20.25" customHeight="1" x14ac:dyDescent="0.3">
      <c r="A98" s="256">
        <v>7</v>
      </c>
      <c r="B98" s="257" t="s">
        <v>445</v>
      </c>
      <c r="C98" s="260">
        <v>2045</v>
      </c>
      <c r="D98" s="260">
        <v>1856</v>
      </c>
      <c r="E98" s="260">
        <f t="shared" si="12"/>
        <v>-189</v>
      </c>
      <c r="F98" s="259">
        <f t="shared" si="13"/>
        <v>-9.2420537897310515E-2</v>
      </c>
    </row>
    <row r="99" spans="1:6" ht="20.25" customHeight="1" x14ac:dyDescent="0.3">
      <c r="A99" s="256">
        <v>8</v>
      </c>
      <c r="B99" s="257" t="s">
        <v>446</v>
      </c>
      <c r="C99" s="260">
        <v>518</v>
      </c>
      <c r="D99" s="260">
        <v>377</v>
      </c>
      <c r="E99" s="260">
        <f t="shared" si="12"/>
        <v>-141</v>
      </c>
      <c r="F99" s="259">
        <f t="shared" si="13"/>
        <v>-0.27220077220077221</v>
      </c>
    </row>
    <row r="100" spans="1:6" ht="20.25" customHeight="1" x14ac:dyDescent="0.3">
      <c r="A100" s="256">
        <v>9</v>
      </c>
      <c r="B100" s="257" t="s">
        <v>447</v>
      </c>
      <c r="C100" s="260">
        <v>261</v>
      </c>
      <c r="D100" s="260">
        <v>241</v>
      </c>
      <c r="E100" s="260">
        <f t="shared" si="12"/>
        <v>-20</v>
      </c>
      <c r="F100" s="259">
        <f t="shared" si="13"/>
        <v>-7.662835249042145E-2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18027622</v>
      </c>
      <c r="D101" s="263">
        <f>+D92+D94</f>
        <v>19521395</v>
      </c>
      <c r="E101" s="263">
        <f t="shared" si="12"/>
        <v>1493773</v>
      </c>
      <c r="F101" s="264">
        <f t="shared" si="13"/>
        <v>8.286023525454439E-2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3866961</v>
      </c>
      <c r="D102" s="263">
        <f>+D93+D95</f>
        <v>4349862</v>
      </c>
      <c r="E102" s="263">
        <f t="shared" si="12"/>
        <v>482901</v>
      </c>
      <c r="F102" s="264">
        <f t="shared" si="13"/>
        <v>0.12487868380363805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7680303</v>
      </c>
      <c r="D105" s="258">
        <v>2992345</v>
      </c>
      <c r="E105" s="258">
        <f t="shared" ref="E105:E115" si="14">D105-C105</f>
        <v>-4687958</v>
      </c>
      <c r="F105" s="259">
        <f t="shared" ref="F105:F115" si="15">IF(C105=0,0,E105/C105)</f>
        <v>-0.61038711623747133</v>
      </c>
    </row>
    <row r="106" spans="1:6" ht="20.25" customHeight="1" x14ac:dyDescent="0.3">
      <c r="A106" s="256">
        <v>2</v>
      </c>
      <c r="B106" s="257" t="s">
        <v>442</v>
      </c>
      <c r="C106" s="258">
        <v>1672695</v>
      </c>
      <c r="D106" s="258">
        <v>687814</v>
      </c>
      <c r="E106" s="258">
        <f t="shared" si="14"/>
        <v>-984881</v>
      </c>
      <c r="F106" s="259">
        <f t="shared" si="15"/>
        <v>-0.5887989143268797</v>
      </c>
    </row>
    <row r="107" spans="1:6" ht="20.25" customHeight="1" x14ac:dyDescent="0.3">
      <c r="A107" s="256">
        <v>3</v>
      </c>
      <c r="B107" s="257" t="s">
        <v>443</v>
      </c>
      <c r="C107" s="258">
        <v>5777763</v>
      </c>
      <c r="D107" s="258">
        <v>1827612</v>
      </c>
      <c r="E107" s="258">
        <f t="shared" si="14"/>
        <v>-3950151</v>
      </c>
      <c r="F107" s="259">
        <f t="shared" si="15"/>
        <v>-0.683681729416731</v>
      </c>
    </row>
    <row r="108" spans="1:6" ht="20.25" customHeight="1" x14ac:dyDescent="0.3">
      <c r="A108" s="256">
        <v>4</v>
      </c>
      <c r="B108" s="257" t="s">
        <v>444</v>
      </c>
      <c r="C108" s="258">
        <v>1012832</v>
      </c>
      <c r="D108" s="258">
        <v>237168</v>
      </c>
      <c r="E108" s="258">
        <f t="shared" si="14"/>
        <v>-775664</v>
      </c>
      <c r="F108" s="259">
        <f t="shared" si="15"/>
        <v>-0.76583678240813879</v>
      </c>
    </row>
    <row r="109" spans="1:6" ht="20.25" customHeight="1" x14ac:dyDescent="0.3">
      <c r="A109" s="256">
        <v>5</v>
      </c>
      <c r="B109" s="257" t="s">
        <v>381</v>
      </c>
      <c r="C109" s="260">
        <v>157</v>
      </c>
      <c r="D109" s="260">
        <v>57</v>
      </c>
      <c r="E109" s="260">
        <f t="shared" si="14"/>
        <v>-100</v>
      </c>
      <c r="F109" s="259">
        <f t="shared" si="15"/>
        <v>-0.63694267515923564</v>
      </c>
    </row>
    <row r="110" spans="1:6" ht="20.25" customHeight="1" x14ac:dyDescent="0.3">
      <c r="A110" s="256">
        <v>6</v>
      </c>
      <c r="B110" s="257" t="s">
        <v>380</v>
      </c>
      <c r="C110" s="260">
        <v>739</v>
      </c>
      <c r="D110" s="260">
        <v>269</v>
      </c>
      <c r="E110" s="260">
        <f t="shared" si="14"/>
        <v>-470</v>
      </c>
      <c r="F110" s="259">
        <f t="shared" si="15"/>
        <v>-0.63599458728010827</v>
      </c>
    </row>
    <row r="111" spans="1:6" ht="20.25" customHeight="1" x14ac:dyDescent="0.3">
      <c r="A111" s="256">
        <v>7</v>
      </c>
      <c r="B111" s="257" t="s">
        <v>445</v>
      </c>
      <c r="C111" s="260">
        <v>2096</v>
      </c>
      <c r="D111" s="260">
        <v>630</v>
      </c>
      <c r="E111" s="260">
        <f t="shared" si="14"/>
        <v>-1466</v>
      </c>
      <c r="F111" s="259">
        <f t="shared" si="15"/>
        <v>-0.69942748091603058</v>
      </c>
    </row>
    <row r="112" spans="1:6" ht="20.25" customHeight="1" x14ac:dyDescent="0.3">
      <c r="A112" s="256">
        <v>8</v>
      </c>
      <c r="B112" s="257" t="s">
        <v>446</v>
      </c>
      <c r="C112" s="260">
        <v>563</v>
      </c>
      <c r="D112" s="260">
        <v>178</v>
      </c>
      <c r="E112" s="260">
        <f t="shared" si="14"/>
        <v>-385</v>
      </c>
      <c r="F112" s="259">
        <f t="shared" si="15"/>
        <v>-0.68383658969804617</v>
      </c>
    </row>
    <row r="113" spans="1:6" ht="20.25" customHeight="1" x14ac:dyDescent="0.3">
      <c r="A113" s="256">
        <v>9</v>
      </c>
      <c r="B113" s="257" t="s">
        <v>447</v>
      </c>
      <c r="C113" s="260">
        <v>144</v>
      </c>
      <c r="D113" s="260">
        <v>52</v>
      </c>
      <c r="E113" s="260">
        <f t="shared" si="14"/>
        <v>-92</v>
      </c>
      <c r="F113" s="259">
        <f t="shared" si="15"/>
        <v>-0.63888888888888884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13458066</v>
      </c>
      <c r="D114" s="263">
        <f>+D105+D107</f>
        <v>4819957</v>
      </c>
      <c r="E114" s="263">
        <f t="shared" si="14"/>
        <v>-8638109</v>
      </c>
      <c r="F114" s="264">
        <f t="shared" si="15"/>
        <v>-0.64185366604681537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2685527</v>
      </c>
      <c r="D115" s="263">
        <f>+D106+D108</f>
        <v>924982</v>
      </c>
      <c r="E115" s="263">
        <f t="shared" si="14"/>
        <v>-1760545</v>
      </c>
      <c r="F115" s="264">
        <f t="shared" si="15"/>
        <v>-0.65556778986023967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16840091</v>
      </c>
      <c r="D118" s="258">
        <v>16416734</v>
      </c>
      <c r="E118" s="258">
        <f t="shared" ref="E118:E128" si="16">D118-C118</f>
        <v>-423357</v>
      </c>
      <c r="F118" s="259">
        <f t="shared" ref="F118:F128" si="17">IF(C118=0,0,E118/C118)</f>
        <v>-2.5139828519929019E-2</v>
      </c>
    </row>
    <row r="119" spans="1:6" ht="20.25" customHeight="1" x14ac:dyDescent="0.3">
      <c r="A119" s="256">
        <v>2</v>
      </c>
      <c r="B119" s="257" t="s">
        <v>442</v>
      </c>
      <c r="C119" s="258">
        <v>3560049</v>
      </c>
      <c r="D119" s="258">
        <v>3937653</v>
      </c>
      <c r="E119" s="258">
        <f t="shared" si="16"/>
        <v>377604</v>
      </c>
      <c r="F119" s="259">
        <f t="shared" si="17"/>
        <v>0.10606707941379459</v>
      </c>
    </row>
    <row r="120" spans="1:6" ht="20.25" customHeight="1" x14ac:dyDescent="0.3">
      <c r="A120" s="256">
        <v>3</v>
      </c>
      <c r="B120" s="257" t="s">
        <v>443</v>
      </c>
      <c r="C120" s="258">
        <v>10716819</v>
      </c>
      <c r="D120" s="258">
        <v>10013698</v>
      </c>
      <c r="E120" s="258">
        <f t="shared" si="16"/>
        <v>-703121</v>
      </c>
      <c r="F120" s="259">
        <f t="shared" si="17"/>
        <v>-6.5609114047741224E-2</v>
      </c>
    </row>
    <row r="121" spans="1:6" ht="20.25" customHeight="1" x14ac:dyDescent="0.3">
      <c r="A121" s="256">
        <v>4</v>
      </c>
      <c r="B121" s="257" t="s">
        <v>444</v>
      </c>
      <c r="C121" s="258">
        <v>1738371</v>
      </c>
      <c r="D121" s="258">
        <v>1382509</v>
      </c>
      <c r="E121" s="258">
        <f t="shared" si="16"/>
        <v>-355862</v>
      </c>
      <c r="F121" s="259">
        <f t="shared" si="17"/>
        <v>-0.20471004175748445</v>
      </c>
    </row>
    <row r="122" spans="1:6" ht="20.25" customHeight="1" x14ac:dyDescent="0.3">
      <c r="A122" s="256">
        <v>5</v>
      </c>
      <c r="B122" s="257" t="s">
        <v>381</v>
      </c>
      <c r="C122" s="260">
        <v>289</v>
      </c>
      <c r="D122" s="260">
        <v>290</v>
      </c>
      <c r="E122" s="260">
        <f t="shared" si="16"/>
        <v>1</v>
      </c>
      <c r="F122" s="259">
        <f t="shared" si="17"/>
        <v>3.4602076124567475E-3</v>
      </c>
    </row>
    <row r="123" spans="1:6" ht="20.25" customHeight="1" x14ac:dyDescent="0.3">
      <c r="A123" s="256">
        <v>6</v>
      </c>
      <c r="B123" s="257" t="s">
        <v>380</v>
      </c>
      <c r="C123" s="260">
        <v>1460</v>
      </c>
      <c r="D123" s="260">
        <v>1455</v>
      </c>
      <c r="E123" s="260">
        <f t="shared" si="16"/>
        <v>-5</v>
      </c>
      <c r="F123" s="259">
        <f t="shared" si="17"/>
        <v>-3.4246575342465752E-3</v>
      </c>
    </row>
    <row r="124" spans="1:6" ht="20.25" customHeight="1" x14ac:dyDescent="0.3">
      <c r="A124" s="256">
        <v>7</v>
      </c>
      <c r="B124" s="257" t="s">
        <v>445</v>
      </c>
      <c r="C124" s="260">
        <v>3606</v>
      </c>
      <c r="D124" s="260">
        <v>3358</v>
      </c>
      <c r="E124" s="260">
        <f t="shared" si="16"/>
        <v>-248</v>
      </c>
      <c r="F124" s="259">
        <f t="shared" si="17"/>
        <v>-6.8774265113699384E-2</v>
      </c>
    </row>
    <row r="125" spans="1:6" ht="20.25" customHeight="1" x14ac:dyDescent="0.3">
      <c r="A125" s="256">
        <v>8</v>
      </c>
      <c r="B125" s="257" t="s">
        <v>446</v>
      </c>
      <c r="C125" s="260">
        <v>432</v>
      </c>
      <c r="D125" s="260">
        <v>471</v>
      </c>
      <c r="E125" s="260">
        <f t="shared" si="16"/>
        <v>39</v>
      </c>
      <c r="F125" s="259">
        <f t="shared" si="17"/>
        <v>9.0277777777777776E-2</v>
      </c>
    </row>
    <row r="126" spans="1:6" ht="20.25" customHeight="1" x14ac:dyDescent="0.3">
      <c r="A126" s="256">
        <v>9</v>
      </c>
      <c r="B126" s="257" t="s">
        <v>447</v>
      </c>
      <c r="C126" s="260">
        <v>233</v>
      </c>
      <c r="D126" s="260">
        <v>236</v>
      </c>
      <c r="E126" s="260">
        <f t="shared" si="16"/>
        <v>3</v>
      </c>
      <c r="F126" s="259">
        <f t="shared" si="17"/>
        <v>1.2875536480686695E-2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27556910</v>
      </c>
      <c r="D127" s="263">
        <f>+D118+D120</f>
        <v>26430432</v>
      </c>
      <c r="E127" s="263">
        <f t="shared" si="16"/>
        <v>-1126478</v>
      </c>
      <c r="F127" s="264">
        <f t="shared" si="17"/>
        <v>-4.0878240702604172E-2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5298420</v>
      </c>
      <c r="D128" s="263">
        <f>+D119+D121</f>
        <v>5320162</v>
      </c>
      <c r="E128" s="263">
        <f t="shared" si="16"/>
        <v>21742</v>
      </c>
      <c r="F128" s="264">
        <f t="shared" si="17"/>
        <v>4.1034874547506619E-3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17070</v>
      </c>
      <c r="D183" s="258">
        <v>0</v>
      </c>
      <c r="E183" s="258">
        <f t="shared" ref="E183:E193" si="26">D183-C183</f>
        <v>-17070</v>
      </c>
      <c r="F183" s="259">
        <f t="shared" ref="F183:F193" si="27">IF(C183=0,0,E183/C183)</f>
        <v>-1</v>
      </c>
    </row>
    <row r="184" spans="1:6" ht="20.25" customHeight="1" x14ac:dyDescent="0.3">
      <c r="A184" s="256">
        <v>2</v>
      </c>
      <c r="B184" s="257" t="s">
        <v>442</v>
      </c>
      <c r="C184" s="258">
        <v>6505</v>
      </c>
      <c r="D184" s="258">
        <v>0</v>
      </c>
      <c r="E184" s="258">
        <f t="shared" si="26"/>
        <v>-6505</v>
      </c>
      <c r="F184" s="259">
        <f t="shared" si="27"/>
        <v>-1</v>
      </c>
    </row>
    <row r="185" spans="1:6" ht="20.25" customHeight="1" x14ac:dyDescent="0.3">
      <c r="A185" s="256">
        <v>3</v>
      </c>
      <c r="B185" s="257" t="s">
        <v>443</v>
      </c>
      <c r="C185" s="258">
        <v>4600</v>
      </c>
      <c r="D185" s="258">
        <v>0</v>
      </c>
      <c r="E185" s="258">
        <f t="shared" si="26"/>
        <v>-4600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322</v>
      </c>
      <c r="D186" s="258">
        <v>0</v>
      </c>
      <c r="E186" s="258">
        <f t="shared" si="26"/>
        <v>-322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1</v>
      </c>
      <c r="D187" s="260">
        <v>0</v>
      </c>
      <c r="E187" s="260">
        <f t="shared" si="26"/>
        <v>-1</v>
      </c>
      <c r="F187" s="259">
        <f t="shared" si="27"/>
        <v>-1</v>
      </c>
    </row>
    <row r="188" spans="1:6" ht="20.25" customHeight="1" x14ac:dyDescent="0.3">
      <c r="A188" s="256">
        <v>6</v>
      </c>
      <c r="B188" s="257" t="s">
        <v>380</v>
      </c>
      <c r="C188" s="260">
        <v>3</v>
      </c>
      <c r="D188" s="260">
        <v>0</v>
      </c>
      <c r="E188" s="260">
        <f t="shared" si="26"/>
        <v>-3</v>
      </c>
      <c r="F188" s="259">
        <f t="shared" si="27"/>
        <v>-1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21670</v>
      </c>
      <c r="D192" s="263">
        <f>+D183+D185</f>
        <v>0</v>
      </c>
      <c r="E192" s="263">
        <f t="shared" si="26"/>
        <v>-21670</v>
      </c>
      <c r="F192" s="264">
        <f t="shared" si="27"/>
        <v>-1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6827</v>
      </c>
      <c r="D193" s="263">
        <f>+D184+D186</f>
        <v>0</v>
      </c>
      <c r="E193" s="263">
        <f t="shared" si="26"/>
        <v>-6827</v>
      </c>
      <c r="F193" s="264">
        <f t="shared" si="27"/>
        <v>-1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62559918</v>
      </c>
      <c r="D198" s="263">
        <f t="shared" si="28"/>
        <v>66400241</v>
      </c>
      <c r="E198" s="263">
        <f t="shared" ref="E198:E208" si="29">D198-C198</f>
        <v>3840323</v>
      </c>
      <c r="F198" s="273">
        <f t="shared" ref="F198:F208" si="30">IF(C198=0,0,E198/C198)</f>
        <v>6.1386317673881863E-2</v>
      </c>
    </row>
    <row r="199" spans="1:9" ht="20.25" customHeight="1" x14ac:dyDescent="0.3">
      <c r="A199" s="271"/>
      <c r="B199" s="272" t="s">
        <v>466</v>
      </c>
      <c r="C199" s="263">
        <f t="shared" si="28"/>
        <v>13500923</v>
      </c>
      <c r="D199" s="263">
        <f t="shared" si="28"/>
        <v>16232507</v>
      </c>
      <c r="E199" s="263">
        <f t="shared" si="29"/>
        <v>2731584</v>
      </c>
      <c r="F199" s="273">
        <f t="shared" si="30"/>
        <v>0.20232572247097477</v>
      </c>
    </row>
    <row r="200" spans="1:9" ht="20.25" customHeight="1" x14ac:dyDescent="0.3">
      <c r="A200" s="271"/>
      <c r="B200" s="272" t="s">
        <v>467</v>
      </c>
      <c r="C200" s="263">
        <f t="shared" si="28"/>
        <v>38026082</v>
      </c>
      <c r="D200" s="263">
        <f t="shared" si="28"/>
        <v>38936519</v>
      </c>
      <c r="E200" s="263">
        <f t="shared" si="29"/>
        <v>910437</v>
      </c>
      <c r="F200" s="273">
        <f t="shared" si="30"/>
        <v>2.394243508968397E-2</v>
      </c>
    </row>
    <row r="201" spans="1:9" ht="20.25" customHeight="1" x14ac:dyDescent="0.3">
      <c r="A201" s="271"/>
      <c r="B201" s="272" t="s">
        <v>468</v>
      </c>
      <c r="C201" s="263">
        <f t="shared" si="28"/>
        <v>6437131</v>
      </c>
      <c r="D201" s="263">
        <f t="shared" si="28"/>
        <v>5396277</v>
      </c>
      <c r="E201" s="263">
        <f t="shared" si="29"/>
        <v>-1040854</v>
      </c>
      <c r="F201" s="273">
        <f t="shared" si="30"/>
        <v>-0.16169532669134742</v>
      </c>
    </row>
    <row r="202" spans="1:9" ht="20.25" customHeight="1" x14ac:dyDescent="0.3">
      <c r="A202" s="271"/>
      <c r="B202" s="272" t="s">
        <v>138</v>
      </c>
      <c r="C202" s="274">
        <f t="shared" si="28"/>
        <v>1172</v>
      </c>
      <c r="D202" s="274">
        <f t="shared" si="28"/>
        <v>1225</v>
      </c>
      <c r="E202" s="274">
        <f t="shared" si="29"/>
        <v>53</v>
      </c>
      <c r="F202" s="273">
        <f t="shared" si="30"/>
        <v>4.5221843003412969E-2</v>
      </c>
    </row>
    <row r="203" spans="1:9" ht="20.25" customHeight="1" x14ac:dyDescent="0.3">
      <c r="A203" s="271"/>
      <c r="B203" s="272" t="s">
        <v>140</v>
      </c>
      <c r="C203" s="274">
        <f t="shared" si="28"/>
        <v>5868</v>
      </c>
      <c r="D203" s="274">
        <f t="shared" si="28"/>
        <v>5995</v>
      </c>
      <c r="E203" s="274">
        <f t="shared" si="29"/>
        <v>127</v>
      </c>
      <c r="F203" s="273">
        <f t="shared" si="30"/>
        <v>2.1642808452624403E-2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13041</v>
      </c>
      <c r="D204" s="274">
        <f t="shared" si="28"/>
        <v>12289</v>
      </c>
      <c r="E204" s="274">
        <f t="shared" si="29"/>
        <v>-752</v>
      </c>
      <c r="F204" s="273">
        <f t="shared" si="30"/>
        <v>-5.7664289548347521E-2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2186</v>
      </c>
      <c r="D205" s="274">
        <f t="shared" si="28"/>
        <v>2124</v>
      </c>
      <c r="E205" s="274">
        <f t="shared" si="29"/>
        <v>-62</v>
      </c>
      <c r="F205" s="273">
        <f t="shared" si="30"/>
        <v>-2.8362305580969808E-2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1009</v>
      </c>
      <c r="D206" s="274">
        <f t="shared" si="28"/>
        <v>1053</v>
      </c>
      <c r="E206" s="274">
        <f t="shared" si="29"/>
        <v>44</v>
      </c>
      <c r="F206" s="273">
        <f t="shared" si="30"/>
        <v>4.3607532210109018E-2</v>
      </c>
    </row>
    <row r="207" spans="1:9" ht="20.25" customHeight="1" x14ac:dyDescent="0.3">
      <c r="A207" s="271"/>
      <c r="B207" s="262" t="s">
        <v>471</v>
      </c>
      <c r="C207" s="263">
        <f>+C198+C200</f>
        <v>100586000</v>
      </c>
      <c r="D207" s="263">
        <f>+D198+D200</f>
        <v>105336760</v>
      </c>
      <c r="E207" s="263">
        <f t="shared" si="29"/>
        <v>4750760</v>
      </c>
      <c r="F207" s="273">
        <f t="shared" si="30"/>
        <v>4.7230827351718928E-2</v>
      </c>
    </row>
    <row r="208" spans="1:9" ht="20.25" customHeight="1" x14ac:dyDescent="0.3">
      <c r="A208" s="271"/>
      <c r="B208" s="262" t="s">
        <v>472</v>
      </c>
      <c r="C208" s="263">
        <f>+C199+C201</f>
        <v>19938054</v>
      </c>
      <c r="D208" s="263">
        <f>+D199+D201</f>
        <v>21628784</v>
      </c>
      <c r="E208" s="263">
        <f t="shared" si="29"/>
        <v>1690730</v>
      </c>
      <c r="F208" s="273">
        <f t="shared" si="30"/>
        <v>8.4799148402346591E-2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zoomScale="70" workbookViewId="0">
      <selection sqref="A1:F1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23373992</v>
      </c>
      <c r="D13" s="22">
        <v>11878115</v>
      </c>
      <c r="E13" s="22">
        <f t="shared" ref="E13:E22" si="0">D13-C13</f>
        <v>-11495877</v>
      </c>
      <c r="F13" s="306">
        <f t="shared" ref="F13:F22" si="1">IF(C13=0,0,E13/C13)</f>
        <v>-0.49182343349822316</v>
      </c>
    </row>
    <row r="14" spans="1:8" ht="24" customHeight="1" x14ac:dyDescent="0.2">
      <c r="A14" s="304">
        <v>2</v>
      </c>
      <c r="B14" s="305" t="s">
        <v>17</v>
      </c>
      <c r="C14" s="22">
        <v>1527528</v>
      </c>
      <c r="D14" s="22">
        <v>552299</v>
      </c>
      <c r="E14" s="22">
        <f t="shared" si="0"/>
        <v>-975229</v>
      </c>
      <c r="F14" s="306">
        <f t="shared" si="1"/>
        <v>-0.63843608758726522</v>
      </c>
    </row>
    <row r="15" spans="1:8" ht="35.1" customHeight="1" x14ac:dyDescent="0.2">
      <c r="A15" s="304">
        <v>3</v>
      </c>
      <c r="B15" s="305" t="s">
        <v>18</v>
      </c>
      <c r="C15" s="22">
        <v>32315680</v>
      </c>
      <c r="D15" s="22">
        <v>27703809</v>
      </c>
      <c r="E15" s="22">
        <f t="shared" si="0"/>
        <v>-4611871</v>
      </c>
      <c r="F15" s="306">
        <f t="shared" si="1"/>
        <v>-0.14271310397924475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189380</v>
      </c>
      <c r="D17" s="22">
        <v>187880</v>
      </c>
      <c r="E17" s="22">
        <f t="shared" si="0"/>
        <v>-1500</v>
      </c>
      <c r="F17" s="306">
        <f t="shared" si="1"/>
        <v>-7.9205829549054817E-3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3461115</v>
      </c>
      <c r="D19" s="22">
        <v>2929281</v>
      </c>
      <c r="E19" s="22">
        <f t="shared" si="0"/>
        <v>-531834</v>
      </c>
      <c r="F19" s="306">
        <f t="shared" si="1"/>
        <v>-0.15365973104043062</v>
      </c>
    </row>
    <row r="20" spans="1:11" ht="24" customHeight="1" x14ac:dyDescent="0.2">
      <c r="A20" s="304">
        <v>8</v>
      </c>
      <c r="B20" s="305" t="s">
        <v>23</v>
      </c>
      <c r="C20" s="22">
        <v>2060247</v>
      </c>
      <c r="D20" s="22">
        <v>1792615</v>
      </c>
      <c r="E20" s="22">
        <f t="shared" si="0"/>
        <v>-267632</v>
      </c>
      <c r="F20" s="306">
        <f t="shared" si="1"/>
        <v>-0.12990287086936664</v>
      </c>
    </row>
    <row r="21" spans="1:11" ht="24" customHeight="1" x14ac:dyDescent="0.2">
      <c r="A21" s="304">
        <v>9</v>
      </c>
      <c r="B21" s="305" t="s">
        <v>24</v>
      </c>
      <c r="C21" s="22">
        <v>3837291</v>
      </c>
      <c r="D21" s="22">
        <v>11957931</v>
      </c>
      <c r="E21" s="22">
        <f t="shared" si="0"/>
        <v>8120640</v>
      </c>
      <c r="F21" s="306">
        <f t="shared" si="1"/>
        <v>2.1162429432638805</v>
      </c>
    </row>
    <row r="22" spans="1:11" ht="24" customHeight="1" x14ac:dyDescent="0.25">
      <c r="A22" s="307"/>
      <c r="B22" s="308" t="s">
        <v>25</v>
      </c>
      <c r="C22" s="309">
        <f>SUM(C13:C21)</f>
        <v>66765233</v>
      </c>
      <c r="D22" s="309">
        <f>SUM(D13:D21)</f>
        <v>57001930</v>
      </c>
      <c r="E22" s="309">
        <f t="shared" si="0"/>
        <v>-9763303</v>
      </c>
      <c r="F22" s="310">
        <f t="shared" si="1"/>
        <v>-0.14623333973836353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43411397</v>
      </c>
      <c r="D25" s="22">
        <v>45342562</v>
      </c>
      <c r="E25" s="22">
        <f>D25-C25</f>
        <v>1931165</v>
      </c>
      <c r="F25" s="306">
        <f>IF(C25=0,0,E25/C25)</f>
        <v>4.4485207421452018E-2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31682</v>
      </c>
      <c r="D27" s="22">
        <v>32618</v>
      </c>
      <c r="E27" s="22">
        <f>D27-C27</f>
        <v>936</v>
      </c>
      <c r="F27" s="306">
        <f>IF(C27=0,0,E27/C27)</f>
        <v>2.9543589419859857E-2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43443079</v>
      </c>
      <c r="D29" s="309">
        <f>SUM(D25:D28)</f>
        <v>45375180</v>
      </c>
      <c r="E29" s="309">
        <f>D29-C29</f>
        <v>1932101</v>
      </c>
      <c r="F29" s="310">
        <f>IF(C29=0,0,E29/C29)</f>
        <v>4.4474310856281618E-2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25903153</v>
      </c>
      <c r="D32" s="22">
        <v>11265188</v>
      </c>
      <c r="E32" s="22">
        <f>D32-C32</f>
        <v>-14637965</v>
      </c>
      <c r="F32" s="306">
        <f>IF(C32=0,0,E32/C32)</f>
        <v>-0.56510359955021694</v>
      </c>
    </row>
    <row r="33" spans="1:8" ht="24" customHeight="1" x14ac:dyDescent="0.2">
      <c r="A33" s="304">
        <v>7</v>
      </c>
      <c r="B33" s="305" t="s">
        <v>35</v>
      </c>
      <c r="C33" s="22">
        <v>2410157</v>
      </c>
      <c r="D33" s="22">
        <v>700986</v>
      </c>
      <c r="E33" s="22">
        <f>D33-C33</f>
        <v>-1709171</v>
      </c>
      <c r="F33" s="306">
        <f>IF(C33=0,0,E33/C33)</f>
        <v>-0.7091533871029978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292402087</v>
      </c>
      <c r="D36" s="22">
        <v>288956637</v>
      </c>
      <c r="E36" s="22">
        <f>D36-C36</f>
        <v>-3445450</v>
      </c>
      <c r="F36" s="306">
        <f>IF(C36=0,0,E36/C36)</f>
        <v>-1.1783260630420877E-2</v>
      </c>
    </row>
    <row r="37" spans="1:8" ht="24" customHeight="1" x14ac:dyDescent="0.2">
      <c r="A37" s="304">
        <v>2</v>
      </c>
      <c r="B37" s="305" t="s">
        <v>39</v>
      </c>
      <c r="C37" s="22">
        <v>256109338</v>
      </c>
      <c r="D37" s="22">
        <v>261912112</v>
      </c>
      <c r="E37" s="22">
        <f>D37-C37</f>
        <v>5802774</v>
      </c>
      <c r="F37" s="22">
        <f>IF(C37=0,0,E37/C37)</f>
        <v>2.2657408922746893E-2</v>
      </c>
    </row>
    <row r="38" spans="1:8" ht="24" customHeight="1" x14ac:dyDescent="0.25">
      <c r="A38" s="307"/>
      <c r="B38" s="308" t="s">
        <v>40</v>
      </c>
      <c r="C38" s="309">
        <f>C36-C37</f>
        <v>36292749</v>
      </c>
      <c r="D38" s="309">
        <f>D36-D37</f>
        <v>27044525</v>
      </c>
      <c r="E38" s="309">
        <f>D38-C38</f>
        <v>-9248224</v>
      </c>
      <c r="F38" s="310">
        <f>IF(C38=0,0,E38/C38)</f>
        <v>-0.25482291242253374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36292749</v>
      </c>
      <c r="D41" s="309">
        <f>+D38+D40</f>
        <v>27044525</v>
      </c>
      <c r="E41" s="309">
        <f>D41-C41</f>
        <v>-9248224</v>
      </c>
      <c r="F41" s="310">
        <f>IF(C41=0,0,E41/C41)</f>
        <v>-0.25482291242253374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174814371</v>
      </c>
      <c r="D43" s="309">
        <f>D22+D29+D31+D32+D33+D41</f>
        <v>141387809</v>
      </c>
      <c r="E43" s="309">
        <f>D43-C43</f>
        <v>-33426562</v>
      </c>
      <c r="F43" s="310">
        <f>IF(C43=0,0,E43/C43)</f>
        <v>-0.19121175112085034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26034893</v>
      </c>
      <c r="D49" s="22">
        <v>20036422</v>
      </c>
      <c r="E49" s="22">
        <f t="shared" ref="E49:E56" si="2">D49-C49</f>
        <v>-5998471</v>
      </c>
      <c r="F49" s="306">
        <f t="shared" ref="F49:F56" si="3">IF(C49=0,0,E49/C49)</f>
        <v>-0.23040121578375605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6161178</v>
      </c>
      <c r="D50" s="22">
        <v>6344404</v>
      </c>
      <c r="E50" s="22">
        <f t="shared" si="2"/>
        <v>183226</v>
      </c>
      <c r="F50" s="306">
        <f t="shared" si="3"/>
        <v>2.9738793458004297E-2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7729230</v>
      </c>
      <c r="D51" s="22">
        <v>6033009</v>
      </c>
      <c r="E51" s="22">
        <f t="shared" si="2"/>
        <v>-1696221</v>
      </c>
      <c r="F51" s="306">
        <f t="shared" si="3"/>
        <v>-0.21945536618783501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576408</v>
      </c>
      <c r="D53" s="22">
        <v>60000</v>
      </c>
      <c r="E53" s="22">
        <f t="shared" si="2"/>
        <v>-516408</v>
      </c>
      <c r="F53" s="306">
        <f t="shared" si="3"/>
        <v>-0.89590706582837154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1455894</v>
      </c>
      <c r="D54" s="22">
        <v>1291333</v>
      </c>
      <c r="E54" s="22">
        <f t="shared" si="2"/>
        <v>-164561</v>
      </c>
      <c r="F54" s="306">
        <f t="shared" si="3"/>
        <v>-0.11303089373264812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41957603</v>
      </c>
      <c r="D56" s="309">
        <f>SUM(D49:D55)</f>
        <v>33765168</v>
      </c>
      <c r="E56" s="309">
        <f t="shared" si="2"/>
        <v>-8192435</v>
      </c>
      <c r="F56" s="310">
        <f t="shared" si="3"/>
        <v>-0.1952550768927386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24483336</v>
      </c>
      <c r="D59" s="22">
        <v>1150000</v>
      </c>
      <c r="E59" s="22">
        <f>D59-C59</f>
        <v>-23333336</v>
      </c>
      <c r="F59" s="306">
        <f>IF(C59=0,0,E59/C59)</f>
        <v>-0.95302927672928228</v>
      </c>
    </row>
    <row r="60" spans="1:6" ht="24" customHeight="1" x14ac:dyDescent="0.2">
      <c r="A60" s="304">
        <v>2</v>
      </c>
      <c r="B60" s="305" t="s">
        <v>57</v>
      </c>
      <c r="C60" s="22">
        <v>3647977</v>
      </c>
      <c r="D60" s="22">
        <v>2354420</v>
      </c>
      <c r="E60" s="22">
        <f>D60-C60</f>
        <v>-1293557</v>
      </c>
      <c r="F60" s="306">
        <f>IF(C60=0,0,E60/C60)</f>
        <v>-0.35459571154094449</v>
      </c>
    </row>
    <row r="61" spans="1:6" ht="24" customHeight="1" x14ac:dyDescent="0.25">
      <c r="A61" s="307"/>
      <c r="B61" s="308" t="s">
        <v>58</v>
      </c>
      <c r="C61" s="309">
        <f>SUM(C59:C60)</f>
        <v>28131313</v>
      </c>
      <c r="D61" s="309">
        <f>SUM(D59:D60)</f>
        <v>3504420</v>
      </c>
      <c r="E61" s="309">
        <f>D61-C61</f>
        <v>-24626893</v>
      </c>
      <c r="F61" s="310">
        <f>IF(C61=0,0,E61/C61)</f>
        <v>-0.87542636207559876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26049588</v>
      </c>
      <c r="D64" s="22">
        <v>56890416</v>
      </c>
      <c r="E64" s="22">
        <f>D64-C64</f>
        <v>30840828</v>
      </c>
      <c r="F64" s="306">
        <f>IF(C64=0,0,E64/C64)</f>
        <v>1.183927669028777</v>
      </c>
    </row>
    <row r="65" spans="1:6" ht="24" customHeight="1" x14ac:dyDescent="0.25">
      <c r="A65" s="307"/>
      <c r="B65" s="308" t="s">
        <v>61</v>
      </c>
      <c r="C65" s="309">
        <f>SUM(C61:C64)</f>
        <v>54180901</v>
      </c>
      <c r="D65" s="309">
        <f>SUM(D61:D64)</f>
        <v>60394836</v>
      </c>
      <c r="E65" s="309">
        <f>D65-C65</f>
        <v>6213935</v>
      </c>
      <c r="F65" s="310">
        <f>IF(C65=0,0,E65/C65)</f>
        <v>0.11468866123138115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2668511</v>
      </c>
      <c r="D67" s="22">
        <v>2503706</v>
      </c>
      <c r="E67" s="22">
        <f>D67-C67</f>
        <v>-164805</v>
      </c>
      <c r="F67" s="321">
        <f>IF(C67=0,0,E67/C67)</f>
        <v>-6.1759160820397591E-2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21583554</v>
      </c>
      <c r="D70" s="22">
        <v>-12132590</v>
      </c>
      <c r="E70" s="22">
        <f>D70-C70</f>
        <v>-33716144</v>
      </c>
      <c r="F70" s="306">
        <f>IF(C70=0,0,E70/C70)</f>
        <v>-1.5621219749073763</v>
      </c>
    </row>
    <row r="71" spans="1:6" ht="24" customHeight="1" x14ac:dyDescent="0.2">
      <c r="A71" s="304">
        <v>2</v>
      </c>
      <c r="B71" s="305" t="s">
        <v>65</v>
      </c>
      <c r="C71" s="22">
        <v>8220369</v>
      </c>
      <c r="D71" s="22">
        <v>8722091</v>
      </c>
      <c r="E71" s="22">
        <f>D71-C71</f>
        <v>501722</v>
      </c>
      <c r="F71" s="306">
        <f>IF(C71=0,0,E71/C71)</f>
        <v>6.1033999811930584E-2</v>
      </c>
    </row>
    <row r="72" spans="1:6" ht="24" customHeight="1" x14ac:dyDescent="0.2">
      <c r="A72" s="304">
        <v>3</v>
      </c>
      <c r="B72" s="305" t="s">
        <v>66</v>
      </c>
      <c r="C72" s="22">
        <v>46203433</v>
      </c>
      <c r="D72" s="22">
        <v>48134598</v>
      </c>
      <c r="E72" s="22">
        <f>D72-C72</f>
        <v>1931165</v>
      </c>
      <c r="F72" s="306">
        <f>IF(C72=0,0,E72/C72)</f>
        <v>4.1797002400232902E-2</v>
      </c>
    </row>
    <row r="73" spans="1:6" ht="24" customHeight="1" x14ac:dyDescent="0.25">
      <c r="A73" s="304"/>
      <c r="B73" s="308" t="s">
        <v>67</v>
      </c>
      <c r="C73" s="309">
        <f>SUM(C70:C72)</f>
        <v>76007356</v>
      </c>
      <c r="D73" s="309">
        <f>SUM(D70:D72)</f>
        <v>44724099</v>
      </c>
      <c r="E73" s="309">
        <f>D73-C73</f>
        <v>-31283257</v>
      </c>
      <c r="F73" s="310">
        <f>IF(C73=0,0,E73/C73)</f>
        <v>-0.41158196582972839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174814371</v>
      </c>
      <c r="D75" s="309">
        <f>D56+D65+D67+D73</f>
        <v>141387809</v>
      </c>
      <c r="E75" s="309">
        <f>D75-C75</f>
        <v>-33426562</v>
      </c>
      <c r="F75" s="310">
        <f>IF(C75=0,0,E75/C75)</f>
        <v>-0.19121175112085034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1002524595</v>
      </c>
      <c r="D11" s="76">
        <v>1019106645</v>
      </c>
      <c r="E11" s="76">
        <f t="shared" ref="E11:E20" si="0">D11-C11</f>
        <v>16582050</v>
      </c>
      <c r="F11" s="77">
        <f t="shared" ref="F11:F20" si="1">IF(C11=0,0,E11/C11)</f>
        <v>1.6540292460356047E-2</v>
      </c>
    </row>
    <row r="12" spans="1:7" ht="23.1" customHeight="1" x14ac:dyDescent="0.2">
      <c r="A12" s="74">
        <v>2</v>
      </c>
      <c r="B12" s="75" t="s">
        <v>72</v>
      </c>
      <c r="C12" s="76">
        <v>749730757</v>
      </c>
      <c r="D12" s="76">
        <v>741820331</v>
      </c>
      <c r="E12" s="76">
        <f t="shared" si="0"/>
        <v>-7910426</v>
      </c>
      <c r="F12" s="77">
        <f t="shared" si="1"/>
        <v>-1.0551022385226753E-2</v>
      </c>
    </row>
    <row r="13" spans="1:7" ht="23.1" customHeight="1" x14ac:dyDescent="0.2">
      <c r="A13" s="74">
        <v>3</v>
      </c>
      <c r="B13" s="75" t="s">
        <v>73</v>
      </c>
      <c r="C13" s="76">
        <v>5323038</v>
      </c>
      <c r="D13" s="76">
        <v>6872980</v>
      </c>
      <c r="E13" s="76">
        <f t="shared" si="0"/>
        <v>1549942</v>
      </c>
      <c r="F13" s="77">
        <f t="shared" si="1"/>
        <v>0.29117620426530866</v>
      </c>
    </row>
    <row r="14" spans="1:7" ht="23.1" customHeight="1" x14ac:dyDescent="0.2">
      <c r="A14" s="74">
        <v>4</v>
      </c>
      <c r="B14" s="75" t="s">
        <v>74</v>
      </c>
      <c r="C14" s="76">
        <v>9321152</v>
      </c>
      <c r="D14" s="76">
        <v>12421400</v>
      </c>
      <c r="E14" s="76">
        <f t="shared" si="0"/>
        <v>3100248</v>
      </c>
      <c r="F14" s="77">
        <f t="shared" si="1"/>
        <v>0.33260352368462609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238149648</v>
      </c>
      <c r="D15" s="79">
        <f>D11-D12-D13-D14</f>
        <v>257991934</v>
      </c>
      <c r="E15" s="79">
        <f t="shared" si="0"/>
        <v>19842286</v>
      </c>
      <c r="F15" s="80">
        <f t="shared" si="1"/>
        <v>8.3318561109105654E-2</v>
      </c>
    </row>
    <row r="16" spans="1:7" ht="23.1" customHeight="1" x14ac:dyDescent="0.2">
      <c r="A16" s="74">
        <v>5</v>
      </c>
      <c r="B16" s="75" t="s">
        <v>76</v>
      </c>
      <c r="C16" s="76">
        <v>4483187</v>
      </c>
      <c r="D16" s="76">
        <v>6365067</v>
      </c>
      <c r="E16" s="76">
        <f t="shared" si="0"/>
        <v>1881880</v>
      </c>
      <c r="F16" s="77">
        <f t="shared" si="1"/>
        <v>0.41976388671719472</v>
      </c>
      <c r="G16" s="65"/>
    </row>
    <row r="17" spans="1:7" ht="31.5" customHeight="1" x14ac:dyDescent="0.25">
      <c r="A17" s="71"/>
      <c r="B17" s="81" t="s">
        <v>77</v>
      </c>
      <c r="C17" s="79">
        <f>C15-C16</f>
        <v>233666461</v>
      </c>
      <c r="D17" s="79">
        <f>D15-D16</f>
        <v>251626867</v>
      </c>
      <c r="E17" s="79">
        <f t="shared" si="0"/>
        <v>17960406</v>
      </c>
      <c r="F17" s="80">
        <f t="shared" si="1"/>
        <v>7.6863431419025949E-2</v>
      </c>
    </row>
    <row r="18" spans="1:7" ht="23.1" customHeight="1" x14ac:dyDescent="0.2">
      <c r="A18" s="74">
        <v>6</v>
      </c>
      <c r="B18" s="75" t="s">
        <v>78</v>
      </c>
      <c r="C18" s="76">
        <v>6386976</v>
      </c>
      <c r="D18" s="76">
        <v>6718689</v>
      </c>
      <c r="E18" s="76">
        <f t="shared" si="0"/>
        <v>331713</v>
      </c>
      <c r="F18" s="77">
        <f t="shared" si="1"/>
        <v>5.1935845695991342E-2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5014429</v>
      </c>
      <c r="D19" s="76">
        <v>5095359</v>
      </c>
      <c r="E19" s="76">
        <f t="shared" si="0"/>
        <v>80930</v>
      </c>
      <c r="F19" s="77">
        <f t="shared" si="1"/>
        <v>1.6139424847774295E-2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245067866</v>
      </c>
      <c r="D20" s="79">
        <f>SUM(D17:D19)</f>
        <v>263440915</v>
      </c>
      <c r="E20" s="79">
        <f t="shared" si="0"/>
        <v>18373049</v>
      </c>
      <c r="F20" s="80">
        <f t="shared" si="1"/>
        <v>7.4971269387068482E-2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120866891</v>
      </c>
      <c r="D23" s="76">
        <v>124425396</v>
      </c>
      <c r="E23" s="76">
        <f t="shared" ref="E23:E32" si="2">D23-C23</f>
        <v>3558505</v>
      </c>
      <c r="F23" s="77">
        <f t="shared" ref="F23:F32" si="3">IF(C23=0,0,E23/C23)</f>
        <v>2.9441520093372801E-2</v>
      </c>
    </row>
    <row r="24" spans="1:7" ht="23.1" customHeight="1" x14ac:dyDescent="0.2">
      <c r="A24" s="74">
        <v>2</v>
      </c>
      <c r="B24" s="75" t="s">
        <v>83</v>
      </c>
      <c r="C24" s="76">
        <v>33239752</v>
      </c>
      <c r="D24" s="76">
        <v>61054809</v>
      </c>
      <c r="E24" s="76">
        <f t="shared" si="2"/>
        <v>27815057</v>
      </c>
      <c r="F24" s="77">
        <f t="shared" si="3"/>
        <v>0.83680097853919011</v>
      </c>
    </row>
    <row r="25" spans="1:7" ht="23.1" customHeight="1" x14ac:dyDescent="0.2">
      <c r="A25" s="74">
        <v>3</v>
      </c>
      <c r="B25" s="75" t="s">
        <v>84</v>
      </c>
      <c r="C25" s="76">
        <v>12654147</v>
      </c>
      <c r="D25" s="76">
        <v>11819269</v>
      </c>
      <c r="E25" s="76">
        <f t="shared" si="2"/>
        <v>-834878</v>
      </c>
      <c r="F25" s="77">
        <f t="shared" si="3"/>
        <v>-6.5976632008463307E-2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31171674</v>
      </c>
      <c r="D26" s="76">
        <v>32219033</v>
      </c>
      <c r="E26" s="76">
        <f t="shared" si="2"/>
        <v>1047359</v>
      </c>
      <c r="F26" s="77">
        <f t="shared" si="3"/>
        <v>3.3599703371721391E-2</v>
      </c>
    </row>
    <row r="27" spans="1:7" ht="23.1" customHeight="1" x14ac:dyDescent="0.2">
      <c r="A27" s="74">
        <v>5</v>
      </c>
      <c r="B27" s="75" t="s">
        <v>86</v>
      </c>
      <c r="C27" s="76">
        <v>7670258</v>
      </c>
      <c r="D27" s="76">
        <v>6950095</v>
      </c>
      <c r="E27" s="76">
        <f t="shared" si="2"/>
        <v>-720163</v>
      </c>
      <c r="F27" s="77">
        <f t="shared" si="3"/>
        <v>-9.3890322854850508E-2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1535311</v>
      </c>
      <c r="D29" s="76">
        <v>1869146</v>
      </c>
      <c r="E29" s="76">
        <f t="shared" si="2"/>
        <v>333835</v>
      </c>
      <c r="F29" s="77">
        <f t="shared" si="3"/>
        <v>0.21743803047069943</v>
      </c>
    </row>
    <row r="30" spans="1:7" ht="23.1" customHeight="1" x14ac:dyDescent="0.2">
      <c r="A30" s="74">
        <v>8</v>
      </c>
      <c r="B30" s="75" t="s">
        <v>89</v>
      </c>
      <c r="C30" s="76">
        <v>7838777</v>
      </c>
      <c r="D30" s="76">
        <v>-3608223</v>
      </c>
      <c r="E30" s="76">
        <f t="shared" si="2"/>
        <v>-11447000</v>
      </c>
      <c r="F30" s="77">
        <f t="shared" si="3"/>
        <v>-1.460304330637292</v>
      </c>
    </row>
    <row r="31" spans="1:7" ht="23.1" customHeight="1" x14ac:dyDescent="0.2">
      <c r="A31" s="74">
        <v>9</v>
      </c>
      <c r="B31" s="75" t="s">
        <v>90</v>
      </c>
      <c r="C31" s="76">
        <v>53076094</v>
      </c>
      <c r="D31" s="76">
        <v>62276253</v>
      </c>
      <c r="E31" s="76">
        <f t="shared" si="2"/>
        <v>9200159</v>
      </c>
      <c r="F31" s="77">
        <f t="shared" si="3"/>
        <v>0.17333903659150202</v>
      </c>
    </row>
    <row r="32" spans="1:7" ht="23.1" customHeight="1" x14ac:dyDescent="0.25">
      <c r="A32" s="71"/>
      <c r="B32" s="78" t="s">
        <v>91</v>
      </c>
      <c r="C32" s="79">
        <f>SUM(C23:C31)</f>
        <v>268052904</v>
      </c>
      <c r="D32" s="79">
        <f>SUM(D23:D31)</f>
        <v>297005778</v>
      </c>
      <c r="E32" s="79">
        <f t="shared" si="2"/>
        <v>28952874</v>
      </c>
      <c r="F32" s="80">
        <f t="shared" si="3"/>
        <v>0.10801179009051139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-22985038</v>
      </c>
      <c r="D34" s="79">
        <f>+D20-D32</f>
        <v>-33564863</v>
      </c>
      <c r="E34" s="79">
        <f>D34-C34</f>
        <v>-10579825</v>
      </c>
      <c r="F34" s="80">
        <f>IF(C34=0,0,E34/C34)</f>
        <v>0.46029182114034356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1876016</v>
      </c>
      <c r="D37" s="76">
        <v>456743</v>
      </c>
      <c r="E37" s="76">
        <f>D37-C37</f>
        <v>-1419273</v>
      </c>
      <c r="F37" s="77">
        <f>IF(C37=0,0,E37/C37)</f>
        <v>-0.75653565854449001</v>
      </c>
    </row>
    <row r="38" spans="1:6" ht="23.1" customHeight="1" x14ac:dyDescent="0.2">
      <c r="A38" s="85">
        <v>2</v>
      </c>
      <c r="B38" s="75" t="s">
        <v>95</v>
      </c>
      <c r="C38" s="76">
        <v>669579</v>
      </c>
      <c r="D38" s="76">
        <v>1823267</v>
      </c>
      <c r="E38" s="76">
        <f>D38-C38</f>
        <v>1153688</v>
      </c>
      <c r="F38" s="77">
        <f>IF(C38=0,0,E38/C38)</f>
        <v>1.7230050524284664</v>
      </c>
    </row>
    <row r="39" spans="1:6" ht="23.1" customHeight="1" x14ac:dyDescent="0.2">
      <c r="A39" s="85">
        <v>3</v>
      </c>
      <c r="B39" s="75" t="s">
        <v>96</v>
      </c>
      <c r="C39" s="76">
        <v>-750533</v>
      </c>
      <c r="D39" s="76">
        <v>-747586</v>
      </c>
      <c r="E39" s="76">
        <f>D39-C39</f>
        <v>2947</v>
      </c>
      <c r="F39" s="77">
        <f>IF(C39=0,0,E39/C39)</f>
        <v>-3.9265428702002442E-3</v>
      </c>
    </row>
    <row r="40" spans="1:6" ht="23.1" customHeight="1" x14ac:dyDescent="0.25">
      <c r="A40" s="83"/>
      <c r="B40" s="78" t="s">
        <v>97</v>
      </c>
      <c r="C40" s="79">
        <f>SUM(C37:C39)</f>
        <v>1795062</v>
      </c>
      <c r="D40" s="79">
        <f>SUM(D37:D39)</f>
        <v>1532424</v>
      </c>
      <c r="E40" s="79">
        <f>D40-C40</f>
        <v>-262638</v>
      </c>
      <c r="F40" s="80">
        <f>IF(C40=0,0,E40/C40)</f>
        <v>-0.14631138088823673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-21189976</v>
      </c>
      <c r="D42" s="79">
        <f>D34+D40</f>
        <v>-32032439</v>
      </c>
      <c r="E42" s="79">
        <f>D42-C42</f>
        <v>-10842463</v>
      </c>
      <c r="F42" s="80">
        <f>IF(C42=0,0,E42/C42)</f>
        <v>0.51167887117946709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-1197928</v>
      </c>
      <c r="D45" s="76">
        <v>587807</v>
      </c>
      <c r="E45" s="76">
        <f>D45-C45</f>
        <v>1785735</v>
      </c>
      <c r="F45" s="77">
        <f>IF(C45=0,0,E45/C45)</f>
        <v>-1.4906864185493618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-1197928</v>
      </c>
      <c r="D47" s="79">
        <f>SUM(D45:D46)</f>
        <v>587807</v>
      </c>
      <c r="E47" s="79">
        <f>D47-C47</f>
        <v>1785735</v>
      </c>
      <c r="F47" s="80">
        <f>IF(C47=0,0,E47/C47)</f>
        <v>-1.4906864185493618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-22387904</v>
      </c>
      <c r="D49" s="79">
        <f>D42+D47</f>
        <v>-31444632</v>
      </c>
      <c r="E49" s="79">
        <f>D49-C49</f>
        <v>-9056728</v>
      </c>
      <c r="F49" s="80">
        <f>IF(C49=0,0,E49/C49)</f>
        <v>0.40453666408431982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2017-09-19T21:26:32Z</cp:lastPrinted>
  <dcterms:created xsi:type="dcterms:W3CDTF">2017-09-14T16:43:16Z</dcterms:created>
  <dcterms:modified xsi:type="dcterms:W3CDTF">2017-09-19T21:27:18Z</dcterms:modified>
</cp:coreProperties>
</file>