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28800" windowHeight="13635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Report485!$A$11:$F$35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D96" i="22"/>
  <c r="D98" i="22"/>
  <c r="C96" i="22"/>
  <c r="C98" i="22" s="1"/>
  <c r="E92" i="22"/>
  <c r="D92" i="22"/>
  <c r="C92" i="22"/>
  <c r="E91" i="22"/>
  <c r="D91" i="22"/>
  <c r="D93" i="22" s="1"/>
  <c r="C91" i="22"/>
  <c r="C93" i="22" s="1"/>
  <c r="E87" i="22"/>
  <c r="D87" i="22"/>
  <c r="C87" i="22"/>
  <c r="E86" i="22"/>
  <c r="E88" i="22" s="1"/>
  <c r="D86" i="22"/>
  <c r="D88" i="22"/>
  <c r="C86" i="22"/>
  <c r="C88" i="22" s="1"/>
  <c r="E83" i="22"/>
  <c r="D83" i="22"/>
  <c r="D101" i="22"/>
  <c r="C83" i="22"/>
  <c r="E76" i="22"/>
  <c r="D76" i="22"/>
  <c r="C76" i="22"/>
  <c r="E75" i="22"/>
  <c r="E77" i="22" s="1"/>
  <c r="D75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 s="1"/>
  <c r="D12" i="22"/>
  <c r="C12" i="22"/>
  <c r="C33" i="22" s="1"/>
  <c r="D21" i="21"/>
  <c r="C21" i="21"/>
  <c r="D19" i="21"/>
  <c r="C19" i="21"/>
  <c r="E17" i="21"/>
  <c r="F17" i="21" s="1"/>
  <c r="E15" i="21"/>
  <c r="F15" i="21" s="1"/>
  <c r="D45" i="20"/>
  <c r="E45" i="20" s="1"/>
  <c r="C45" i="20"/>
  <c r="D44" i="20"/>
  <c r="E44" i="20" s="1"/>
  <c r="E46" i="20" s="1"/>
  <c r="C44" i="20"/>
  <c r="D43" i="20"/>
  <c r="C43" i="20"/>
  <c r="C46" i="20" s="1"/>
  <c r="D36" i="20"/>
  <c r="D40" i="20" s="1"/>
  <c r="C36" i="20"/>
  <c r="C40" i="20"/>
  <c r="F35" i="20"/>
  <c r="E35" i="20"/>
  <c r="E34" i="20"/>
  <c r="F33" i="20"/>
  <c r="E33" i="20"/>
  <c r="F30" i="20"/>
  <c r="E30" i="20"/>
  <c r="E29" i="20"/>
  <c r="F29" i="20" s="1"/>
  <c r="F28" i="20"/>
  <c r="E28" i="20"/>
  <c r="E27" i="20"/>
  <c r="F27" i="20" s="1"/>
  <c r="D25" i="20"/>
  <c r="D39" i="20" s="1"/>
  <c r="C25" i="20"/>
  <c r="C39" i="20"/>
  <c r="E24" i="20"/>
  <c r="F24" i="20" s="1"/>
  <c r="E23" i="20"/>
  <c r="F23" i="20" s="1"/>
  <c r="E22" i="20"/>
  <c r="F22" i="20" s="1"/>
  <c r="D19" i="20"/>
  <c r="D20" i="20" s="1"/>
  <c r="C19" i="20"/>
  <c r="C20" i="20" s="1"/>
  <c r="E18" i="20"/>
  <c r="F18" i="20" s="1"/>
  <c r="D16" i="20"/>
  <c r="C16" i="20"/>
  <c r="E15" i="20"/>
  <c r="F15" i="20" s="1"/>
  <c r="E13" i="20"/>
  <c r="F13" i="20" s="1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 s="1"/>
  <c r="C63" i="19"/>
  <c r="C59" i="19"/>
  <c r="C60" i="19" s="1"/>
  <c r="C48" i="19"/>
  <c r="C36" i="19"/>
  <c r="C32" i="19"/>
  <c r="C33" i="19" s="1"/>
  <c r="C21" i="19"/>
  <c r="E328" i="18"/>
  <c r="E325" i="18"/>
  <c r="D324" i="18"/>
  <c r="D326" i="18" s="1"/>
  <c r="D330" i="18" s="1"/>
  <c r="C324" i="18"/>
  <c r="C326" i="18" s="1"/>
  <c r="E318" i="18"/>
  <c r="E315" i="18"/>
  <c r="D314" i="18"/>
  <c r="E314" i="18" s="1"/>
  <c r="C314" i="18"/>
  <c r="C316" i="18"/>
  <c r="C320" i="18" s="1"/>
  <c r="E308" i="18"/>
  <c r="E305" i="18"/>
  <c r="D301" i="18"/>
  <c r="C301" i="18"/>
  <c r="D293" i="18"/>
  <c r="E293" i="18" s="1"/>
  <c r="C293" i="18"/>
  <c r="D292" i="18"/>
  <c r="C292" i="18"/>
  <c r="E292" i="18" s="1"/>
  <c r="D291" i="18"/>
  <c r="C291" i="18"/>
  <c r="D290" i="18"/>
  <c r="C290" i="18"/>
  <c r="D288" i="18"/>
  <c r="C288" i="18"/>
  <c r="E288" i="18"/>
  <c r="D287" i="18"/>
  <c r="E287" i="18" s="1"/>
  <c r="C287" i="18"/>
  <c r="D282" i="18"/>
  <c r="C282" i="18"/>
  <c r="D281" i="18"/>
  <c r="E281" i="18" s="1"/>
  <c r="C281" i="18"/>
  <c r="D280" i="18"/>
  <c r="E280" i="18" s="1"/>
  <c r="C280" i="18"/>
  <c r="D279" i="18"/>
  <c r="C279" i="18"/>
  <c r="E279" i="18" s="1"/>
  <c r="D278" i="18"/>
  <c r="C278" i="18"/>
  <c r="D277" i="18"/>
  <c r="E277" i="18" s="1"/>
  <c r="C277" i="18"/>
  <c r="D276" i="18"/>
  <c r="E276" i="18" s="1"/>
  <c r="C276" i="18"/>
  <c r="E270" i="18"/>
  <c r="D265" i="18"/>
  <c r="C265" i="18"/>
  <c r="C302" i="18" s="1"/>
  <c r="C303" i="18" s="1"/>
  <c r="C306" i="18" s="1"/>
  <c r="C310" i="18" s="1"/>
  <c r="D262" i="18"/>
  <c r="C262" i="18"/>
  <c r="E262" i="18"/>
  <c r="D251" i="18"/>
  <c r="C251" i="18"/>
  <c r="D233" i="18"/>
  <c r="C233" i="18"/>
  <c r="D232" i="18"/>
  <c r="C232" i="18"/>
  <c r="D231" i="18"/>
  <c r="C231" i="18"/>
  <c r="D230" i="18"/>
  <c r="E230" i="18" s="1"/>
  <c r="C230" i="18"/>
  <c r="D228" i="18"/>
  <c r="C228" i="18"/>
  <c r="E228" i="18" s="1"/>
  <c r="D227" i="18"/>
  <c r="E227" i="18" s="1"/>
  <c r="C227" i="18"/>
  <c r="D221" i="18"/>
  <c r="C221" i="18"/>
  <c r="C245" i="18" s="1"/>
  <c r="D220" i="18"/>
  <c r="D244" i="18" s="1"/>
  <c r="C220" i="18"/>
  <c r="C244" i="18" s="1"/>
  <c r="D219" i="18"/>
  <c r="C219" i="18"/>
  <c r="C243" i="18"/>
  <c r="D218" i="18"/>
  <c r="C218" i="18"/>
  <c r="C242" i="18" s="1"/>
  <c r="D216" i="18"/>
  <c r="D240" i="18" s="1"/>
  <c r="C216" i="18"/>
  <c r="D215" i="18"/>
  <c r="C215" i="18"/>
  <c r="C239" i="18" s="1"/>
  <c r="E209" i="18"/>
  <c r="E208" i="18"/>
  <c r="E207" i="18"/>
  <c r="E206" i="18"/>
  <c r="D205" i="18"/>
  <c r="D210" i="18" s="1"/>
  <c r="D229" i="18"/>
  <c r="E229" i="18" s="1"/>
  <c r="C205" i="18"/>
  <c r="C210" i="18" s="1"/>
  <c r="E204" i="18"/>
  <c r="E203" i="18"/>
  <c r="E197" i="18"/>
  <c r="E196" i="18"/>
  <c r="D195" i="18"/>
  <c r="C195" i="18"/>
  <c r="C260" i="18" s="1"/>
  <c r="E194" i="18"/>
  <c r="E193" i="18"/>
  <c r="E192" i="18"/>
  <c r="E191" i="18"/>
  <c r="E190" i="18"/>
  <c r="D188" i="18"/>
  <c r="D261" i="18" s="1"/>
  <c r="C188" i="18"/>
  <c r="E186" i="18"/>
  <c r="E185" i="18"/>
  <c r="D179" i="18"/>
  <c r="E179" i="18" s="1"/>
  <c r="C179" i="18"/>
  <c r="D178" i="18"/>
  <c r="C178" i="18"/>
  <c r="E178" i="18" s="1"/>
  <c r="D177" i="18"/>
  <c r="C177" i="18"/>
  <c r="E177" i="18"/>
  <c r="D176" i="18"/>
  <c r="E176" i="18" s="1"/>
  <c r="C176" i="18"/>
  <c r="D174" i="18"/>
  <c r="E174" i="18" s="1"/>
  <c r="C174" i="18"/>
  <c r="D173" i="18"/>
  <c r="E173" i="18" s="1"/>
  <c r="C173" i="18"/>
  <c r="D167" i="18"/>
  <c r="C167" i="18"/>
  <c r="D166" i="18"/>
  <c r="E166" i="18" s="1"/>
  <c r="C166" i="18"/>
  <c r="D165" i="18"/>
  <c r="C165" i="18"/>
  <c r="D164" i="18"/>
  <c r="C164" i="18"/>
  <c r="D162" i="18"/>
  <c r="C162" i="18"/>
  <c r="D161" i="18"/>
  <c r="C161" i="18"/>
  <c r="E155" i="18"/>
  <c r="E154" i="18"/>
  <c r="E153" i="18"/>
  <c r="E152" i="18"/>
  <c r="D151" i="18"/>
  <c r="D156" i="18" s="1"/>
  <c r="C151" i="18"/>
  <c r="E150" i="18"/>
  <c r="E149" i="18"/>
  <c r="C144" i="18"/>
  <c r="E143" i="18"/>
  <c r="E142" i="18"/>
  <c r="E141" i="18"/>
  <c r="E140" i="18"/>
  <c r="D139" i="18"/>
  <c r="C139" i="18"/>
  <c r="C175" i="18" s="1"/>
  <c r="E138" i="18"/>
  <c r="E137" i="18"/>
  <c r="D75" i="18"/>
  <c r="C75" i="18"/>
  <c r="E75" i="18"/>
  <c r="D74" i="18"/>
  <c r="C74" i="18"/>
  <c r="E74" i="18" s="1"/>
  <c r="D73" i="18"/>
  <c r="C73" i="18"/>
  <c r="D72" i="18"/>
  <c r="C72" i="18"/>
  <c r="E72" i="18" s="1"/>
  <c r="D70" i="18"/>
  <c r="C70" i="18"/>
  <c r="D69" i="18"/>
  <c r="C69" i="18"/>
  <c r="E64" i="18"/>
  <c r="E63" i="18"/>
  <c r="E62" i="18"/>
  <c r="E61" i="18"/>
  <c r="D60" i="18"/>
  <c r="C60" i="18"/>
  <c r="C71" i="18" s="1"/>
  <c r="C76" i="18" s="1"/>
  <c r="E59" i="18"/>
  <c r="E58" i="18"/>
  <c r="D54" i="18"/>
  <c r="C54" i="18"/>
  <c r="C55" i="18" s="1"/>
  <c r="E53" i="18"/>
  <c r="E52" i="18"/>
  <c r="E51" i="18"/>
  <c r="E50" i="18"/>
  <c r="E49" i="18"/>
  <c r="E48" i="18"/>
  <c r="E47" i="18"/>
  <c r="D42" i="18"/>
  <c r="E42" i="18" s="1"/>
  <c r="C42" i="18"/>
  <c r="D41" i="18"/>
  <c r="E41" i="18" s="1"/>
  <c r="C41" i="18"/>
  <c r="D40" i="18"/>
  <c r="C40" i="18"/>
  <c r="E40" i="18" s="1"/>
  <c r="D39" i="18"/>
  <c r="E39" i="18" s="1"/>
  <c r="C39" i="18"/>
  <c r="D38" i="18"/>
  <c r="E38" i="18" s="1"/>
  <c r="C38" i="18"/>
  <c r="D37" i="18"/>
  <c r="C37" i="18"/>
  <c r="C43" i="18" s="1"/>
  <c r="D36" i="18"/>
  <c r="E36" i="18" s="1"/>
  <c r="C36" i="18"/>
  <c r="D32" i="18"/>
  <c r="C32" i="18"/>
  <c r="C33" i="18" s="1"/>
  <c r="E31" i="18"/>
  <c r="E30" i="18"/>
  <c r="E29" i="18"/>
  <c r="E28" i="18"/>
  <c r="E27" i="18"/>
  <c r="E26" i="18"/>
  <c r="E25" i="18"/>
  <c r="D21" i="18"/>
  <c r="D22" i="18" s="1"/>
  <c r="C21" i="18"/>
  <c r="E20" i="18"/>
  <c r="E19" i="18"/>
  <c r="E18" i="18"/>
  <c r="E17" i="18"/>
  <c r="E16" i="18"/>
  <c r="E15" i="18"/>
  <c r="E14" i="18"/>
  <c r="E335" i="17"/>
  <c r="F335" i="17" s="1"/>
  <c r="E334" i="17"/>
  <c r="F334" i="17" s="1"/>
  <c r="E333" i="17"/>
  <c r="F333" i="17" s="1"/>
  <c r="F332" i="17"/>
  <c r="E332" i="17"/>
  <c r="E331" i="17"/>
  <c r="F331" i="17" s="1"/>
  <c r="E330" i="17"/>
  <c r="F330" i="17" s="1"/>
  <c r="F329" i="17"/>
  <c r="E329" i="17"/>
  <c r="F316" i="17"/>
  <c r="E316" i="17"/>
  <c r="D311" i="17"/>
  <c r="C311" i="17"/>
  <c r="F311" i="17" s="1"/>
  <c r="F308" i="17"/>
  <c r="E308" i="17"/>
  <c r="D307" i="17"/>
  <c r="C307" i="17"/>
  <c r="D299" i="17"/>
  <c r="E299" i="17" s="1"/>
  <c r="F299" i="17" s="1"/>
  <c r="C299" i="17"/>
  <c r="D298" i="17"/>
  <c r="E298" i="17" s="1"/>
  <c r="C298" i="17"/>
  <c r="F298" i="17" s="1"/>
  <c r="D297" i="17"/>
  <c r="C297" i="17"/>
  <c r="D296" i="17"/>
  <c r="E296" i="17" s="1"/>
  <c r="F296" i="17" s="1"/>
  <c r="C296" i="17"/>
  <c r="D295" i="17"/>
  <c r="E295" i="17" s="1"/>
  <c r="C295" i="17"/>
  <c r="D294" i="17"/>
  <c r="C294" i="17"/>
  <c r="D250" i="17"/>
  <c r="C250" i="17"/>
  <c r="E249" i="17"/>
  <c r="F249" i="17"/>
  <c r="E248" i="17"/>
  <c r="F248" i="17"/>
  <c r="F245" i="17"/>
  <c r="E245" i="17"/>
  <c r="E244" i="17"/>
  <c r="F244" i="17" s="1"/>
  <c r="E243" i="17"/>
  <c r="F243" i="17" s="1"/>
  <c r="D238" i="17"/>
  <c r="C238" i="17"/>
  <c r="D237" i="17"/>
  <c r="D239" i="17" s="1"/>
  <c r="E239" i="17" s="1"/>
  <c r="F239" i="17" s="1"/>
  <c r="C237" i="17"/>
  <c r="E234" i="17"/>
  <c r="F234" i="17" s="1"/>
  <c r="E233" i="17"/>
  <c r="F233" i="17" s="1"/>
  <c r="D230" i="17"/>
  <c r="C230" i="17"/>
  <c r="D229" i="17"/>
  <c r="C229" i="17"/>
  <c r="E228" i="17"/>
  <c r="F228" i="17"/>
  <c r="D226" i="17"/>
  <c r="C226" i="17"/>
  <c r="E225" i="17"/>
  <c r="F225" i="17"/>
  <c r="E224" i="17"/>
  <c r="F224" i="17" s="1"/>
  <c r="D223" i="17"/>
  <c r="C223" i="17"/>
  <c r="E222" i="17"/>
  <c r="F222" i="17"/>
  <c r="E221" i="17"/>
  <c r="F221" i="17" s="1"/>
  <c r="D204" i="17"/>
  <c r="D285" i="17" s="1"/>
  <c r="C204" i="17"/>
  <c r="D203" i="17"/>
  <c r="D267" i="17" s="1"/>
  <c r="C203" i="17"/>
  <c r="D198" i="17"/>
  <c r="C198" i="17"/>
  <c r="D191" i="17"/>
  <c r="C191" i="17"/>
  <c r="D189" i="17"/>
  <c r="D262" i="17" s="1"/>
  <c r="C189" i="17"/>
  <c r="D188" i="17"/>
  <c r="C188" i="17"/>
  <c r="D180" i="17"/>
  <c r="C180" i="17"/>
  <c r="F180" i="17" s="1"/>
  <c r="D179" i="17"/>
  <c r="C179" i="17"/>
  <c r="F179" i="17" s="1"/>
  <c r="D171" i="17"/>
  <c r="D172" i="17" s="1"/>
  <c r="C171" i="17"/>
  <c r="F171" i="17"/>
  <c r="D170" i="17"/>
  <c r="C170" i="17"/>
  <c r="F170" i="17"/>
  <c r="F169" i="17"/>
  <c r="E169" i="17"/>
  <c r="F168" i="17"/>
  <c r="E168" i="17"/>
  <c r="D165" i="17"/>
  <c r="E165" i="17" s="1"/>
  <c r="C165" i="17"/>
  <c r="F165" i="17" s="1"/>
  <c r="D164" i="17"/>
  <c r="C164" i="17"/>
  <c r="F164" i="17" s="1"/>
  <c r="F163" i="17"/>
  <c r="E163" i="17"/>
  <c r="D158" i="17"/>
  <c r="D159" i="17"/>
  <c r="C158" i="17"/>
  <c r="F158" i="17" s="1"/>
  <c r="F157" i="17"/>
  <c r="E157" i="17"/>
  <c r="F156" i="17"/>
  <c r="E156" i="17"/>
  <c r="D155" i="17"/>
  <c r="C155" i="17"/>
  <c r="F154" i="17"/>
  <c r="E154" i="17"/>
  <c r="F153" i="17"/>
  <c r="E153" i="17"/>
  <c r="D145" i="17"/>
  <c r="C145" i="17"/>
  <c r="D144" i="17"/>
  <c r="C144" i="17"/>
  <c r="D136" i="17"/>
  <c r="E136" i="17" s="1"/>
  <c r="F136" i="17" s="1"/>
  <c r="C136" i="17"/>
  <c r="C137" i="17" s="1"/>
  <c r="D135" i="17"/>
  <c r="E135" i="17" s="1"/>
  <c r="C135" i="17"/>
  <c r="F135" i="17" s="1"/>
  <c r="E134" i="17"/>
  <c r="F134" i="17" s="1"/>
  <c r="E133" i="17"/>
  <c r="F133" i="17" s="1"/>
  <c r="D130" i="17"/>
  <c r="C130" i="17"/>
  <c r="D129" i="17"/>
  <c r="C129" i="17"/>
  <c r="E128" i="17"/>
  <c r="F128" i="17" s="1"/>
  <c r="D123" i="17"/>
  <c r="C123" i="17"/>
  <c r="C124" i="17"/>
  <c r="E122" i="17"/>
  <c r="F122" i="17" s="1"/>
  <c r="E121" i="17"/>
  <c r="F121" i="17" s="1"/>
  <c r="D120" i="17"/>
  <c r="E120" i="17"/>
  <c r="C120" i="17"/>
  <c r="E119" i="17"/>
  <c r="F119" i="17" s="1"/>
  <c r="E118" i="17"/>
  <c r="F118" i="17" s="1"/>
  <c r="D110" i="17"/>
  <c r="E110" i="17" s="1"/>
  <c r="C110" i="17"/>
  <c r="D109" i="17"/>
  <c r="C109" i="17"/>
  <c r="D101" i="17"/>
  <c r="C101" i="17"/>
  <c r="C102" i="17" s="1"/>
  <c r="D100" i="17"/>
  <c r="C100" i="17"/>
  <c r="E99" i="17"/>
  <c r="F99" i="17"/>
  <c r="E98" i="17"/>
  <c r="F98" i="17" s="1"/>
  <c r="D95" i="17"/>
  <c r="C95" i="17"/>
  <c r="D94" i="17"/>
  <c r="E94" i="17" s="1"/>
  <c r="F94" i="17" s="1"/>
  <c r="C94" i="17"/>
  <c r="E93" i="17"/>
  <c r="F93" i="17"/>
  <c r="D88" i="17"/>
  <c r="C88" i="17"/>
  <c r="E87" i="17"/>
  <c r="F87" i="17" s="1"/>
  <c r="E86" i="17"/>
  <c r="F86" i="17" s="1"/>
  <c r="D85" i="17"/>
  <c r="C85" i="17"/>
  <c r="E84" i="17"/>
  <c r="F84" i="17" s="1"/>
  <c r="E83" i="17"/>
  <c r="F83" i="17" s="1"/>
  <c r="D76" i="17"/>
  <c r="D77" i="17" s="1"/>
  <c r="C76" i="17"/>
  <c r="C77" i="17" s="1"/>
  <c r="E74" i="17"/>
  <c r="F74" i="17" s="1"/>
  <c r="E73" i="17"/>
  <c r="F73" i="17"/>
  <c r="D67" i="17"/>
  <c r="C67" i="17"/>
  <c r="D66" i="17"/>
  <c r="D68" i="17" s="1"/>
  <c r="C66" i="17"/>
  <c r="D59" i="17"/>
  <c r="D60" i="17" s="1"/>
  <c r="D61" i="17" s="1"/>
  <c r="C59" i="17"/>
  <c r="D58" i="17"/>
  <c r="E58" i="17" s="1"/>
  <c r="F58" i="17" s="1"/>
  <c r="C58" i="17"/>
  <c r="E57" i="17"/>
  <c r="F57" i="17"/>
  <c r="E56" i="17"/>
  <c r="F56" i="17" s="1"/>
  <c r="D53" i="17"/>
  <c r="C53" i="17"/>
  <c r="D52" i="17"/>
  <c r="C52" i="17"/>
  <c r="E51" i="17"/>
  <c r="F51" i="17" s="1"/>
  <c r="C48" i="17"/>
  <c r="D47" i="17"/>
  <c r="D48" i="17"/>
  <c r="C47" i="17"/>
  <c r="E46" i="17"/>
  <c r="F46" i="17" s="1"/>
  <c r="E45" i="17"/>
  <c r="F45" i="17" s="1"/>
  <c r="D44" i="17"/>
  <c r="C44" i="17"/>
  <c r="E43" i="17"/>
  <c r="F43" i="17" s="1"/>
  <c r="E42" i="17"/>
  <c r="F42" i="17" s="1"/>
  <c r="D36" i="17"/>
  <c r="C36" i="17"/>
  <c r="D35" i="17"/>
  <c r="C35" i="17"/>
  <c r="D30" i="17"/>
  <c r="D31" i="17" s="1"/>
  <c r="D32" i="17" s="1"/>
  <c r="C30" i="17"/>
  <c r="C31" i="17" s="1"/>
  <c r="D29" i="17"/>
  <c r="C29" i="17"/>
  <c r="E28" i="17"/>
  <c r="F28" i="17" s="1"/>
  <c r="E27" i="17"/>
  <c r="F27" i="17" s="1"/>
  <c r="D24" i="17"/>
  <c r="E24" i="17" s="1"/>
  <c r="F24" i="17" s="1"/>
  <c r="C24" i="17"/>
  <c r="D23" i="17"/>
  <c r="C23" i="17"/>
  <c r="E22" i="17"/>
  <c r="F22" i="17" s="1"/>
  <c r="D20" i="17"/>
  <c r="C20" i="17"/>
  <c r="E19" i="17"/>
  <c r="F19" i="17"/>
  <c r="E18" i="17"/>
  <c r="F18" i="17" s="1"/>
  <c r="D17" i="17"/>
  <c r="C17" i="17"/>
  <c r="E16" i="17"/>
  <c r="F16" i="17" s="1"/>
  <c r="E15" i="17"/>
  <c r="F15" i="17" s="1"/>
  <c r="D28" i="16"/>
  <c r="E28" i="16" s="1"/>
  <c r="F28" i="16"/>
  <c r="C28" i="16"/>
  <c r="E27" i="16"/>
  <c r="F27" i="16" s="1"/>
  <c r="E26" i="16"/>
  <c r="F26" i="16" s="1"/>
  <c r="F25" i="16"/>
  <c r="E25" i="16"/>
  <c r="F24" i="16"/>
  <c r="E24" i="16"/>
  <c r="D21" i="16"/>
  <c r="E21" i="16" s="1"/>
  <c r="C21" i="16"/>
  <c r="F20" i="16"/>
  <c r="E20" i="16"/>
  <c r="F19" i="16"/>
  <c r="E19" i="16"/>
  <c r="E18" i="16"/>
  <c r="F18" i="16" s="1"/>
  <c r="D15" i="16"/>
  <c r="E15" i="16" s="1"/>
  <c r="F15" i="16" s="1"/>
  <c r="C15" i="16"/>
  <c r="F14" i="16"/>
  <c r="E14" i="16"/>
  <c r="F13" i="16"/>
  <c r="E13" i="16"/>
  <c r="E12" i="16"/>
  <c r="F12" i="16" s="1"/>
  <c r="D107" i="15"/>
  <c r="E107" i="15" s="1"/>
  <c r="C107" i="15"/>
  <c r="F107" i="15" s="1"/>
  <c r="E106" i="15"/>
  <c r="F106" i="15" s="1"/>
  <c r="F105" i="15"/>
  <c r="E105" i="15"/>
  <c r="F104" i="15"/>
  <c r="E104" i="15"/>
  <c r="D100" i="15"/>
  <c r="C100" i="15"/>
  <c r="E99" i="15"/>
  <c r="F99" i="15" s="1"/>
  <c r="F98" i="15"/>
  <c r="E98" i="15"/>
  <c r="E97" i="15"/>
  <c r="F97" i="15" s="1"/>
  <c r="F96" i="15"/>
  <c r="E96" i="15"/>
  <c r="E95" i="15"/>
  <c r="F95" i="15" s="1"/>
  <c r="D92" i="15"/>
  <c r="C92" i="15"/>
  <c r="E91" i="15"/>
  <c r="F91" i="15" s="1"/>
  <c r="F90" i="15"/>
  <c r="E90" i="15"/>
  <c r="E89" i="15"/>
  <c r="F89" i="15" s="1"/>
  <c r="E88" i="15"/>
  <c r="F88" i="15" s="1"/>
  <c r="F87" i="15"/>
  <c r="E87" i="15"/>
  <c r="E86" i="15"/>
  <c r="F86" i="15" s="1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D70" i="15"/>
  <c r="C70" i="15"/>
  <c r="F69" i="15"/>
  <c r="E69" i="15"/>
  <c r="E68" i="15"/>
  <c r="F68" i="15" s="1"/>
  <c r="D65" i="15"/>
  <c r="C65" i="15"/>
  <c r="E64" i="15"/>
  <c r="F64" i="15" s="1"/>
  <c r="F63" i="15"/>
  <c r="E63" i="15"/>
  <c r="D60" i="15"/>
  <c r="C60" i="15"/>
  <c r="E59" i="15"/>
  <c r="F59" i="15" s="1"/>
  <c r="E58" i="15"/>
  <c r="F58" i="15" s="1"/>
  <c r="E60" i="15"/>
  <c r="F60" i="15" s="1"/>
  <c r="D55" i="15"/>
  <c r="E55" i="15" s="1"/>
  <c r="F55" i="15" s="1"/>
  <c r="C55" i="15"/>
  <c r="E54" i="15"/>
  <c r="F54" i="15" s="1"/>
  <c r="F53" i="15"/>
  <c r="E53" i="15"/>
  <c r="D50" i="15"/>
  <c r="C50" i="15"/>
  <c r="F49" i="15"/>
  <c r="E49" i="15"/>
  <c r="F48" i="15"/>
  <c r="E48" i="15"/>
  <c r="D45" i="15"/>
  <c r="E45" i="15" s="1"/>
  <c r="F45" i="15" s="1"/>
  <c r="C45" i="15"/>
  <c r="E44" i="15"/>
  <c r="F44" i="15" s="1"/>
  <c r="F43" i="15"/>
  <c r="E43" i="15"/>
  <c r="D37" i="15"/>
  <c r="E37" i="15" s="1"/>
  <c r="F37" i="15" s="1"/>
  <c r="C37" i="15"/>
  <c r="F36" i="15"/>
  <c r="E36" i="15"/>
  <c r="E35" i="15"/>
  <c r="F35" i="15" s="1"/>
  <c r="F34" i="15"/>
  <c r="E34" i="15"/>
  <c r="F33" i="15"/>
  <c r="E33" i="15"/>
  <c r="D30" i="15"/>
  <c r="E30" i="15" s="1"/>
  <c r="F30" i="15" s="1"/>
  <c r="C30" i="15"/>
  <c r="F29" i="15"/>
  <c r="E29" i="15"/>
  <c r="F28" i="15"/>
  <c r="E28" i="15"/>
  <c r="F27" i="15"/>
  <c r="E27" i="15"/>
  <c r="F26" i="15"/>
  <c r="E26" i="15"/>
  <c r="D23" i="15"/>
  <c r="C23" i="15"/>
  <c r="F22" i="15"/>
  <c r="E22" i="15"/>
  <c r="F21" i="15"/>
  <c r="E21" i="15"/>
  <c r="F20" i="15"/>
  <c r="E20" i="15"/>
  <c r="E19" i="15"/>
  <c r="F19" i="15" s="1"/>
  <c r="D16" i="15"/>
  <c r="E16" i="15" s="1"/>
  <c r="F16" i="15" s="1"/>
  <c r="C16" i="15"/>
  <c r="F15" i="15"/>
  <c r="E15" i="15"/>
  <c r="F14" i="15"/>
  <c r="E14" i="15"/>
  <c r="E13" i="15"/>
  <c r="F13" i="15" s="1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F17" i="14"/>
  <c r="F33" i="14" s="1"/>
  <c r="E17" i="14"/>
  <c r="E31" i="14" s="1"/>
  <c r="D17" i="14"/>
  <c r="D33" i="14" s="1"/>
  <c r="D36" i="14" s="1"/>
  <c r="D38" i="14" s="1"/>
  <c r="D40" i="14" s="1"/>
  <c r="C17" i="14"/>
  <c r="C31" i="14" s="1"/>
  <c r="I31" i="14" s="1"/>
  <c r="I16" i="14"/>
  <c r="H16" i="14"/>
  <c r="I15" i="14"/>
  <c r="H15" i="14"/>
  <c r="I13" i="14"/>
  <c r="H13" i="14"/>
  <c r="I11" i="14"/>
  <c r="H11" i="14"/>
  <c r="E79" i="13"/>
  <c r="D79" i="13"/>
  <c r="D80" i="13" s="1"/>
  <c r="D77" i="13" s="1"/>
  <c r="C79" i="13"/>
  <c r="E78" i="13"/>
  <c r="D78" i="13"/>
  <c r="C78" i="13"/>
  <c r="C80" i="13" s="1"/>
  <c r="C77" i="13" s="1"/>
  <c r="E73" i="13"/>
  <c r="E75" i="13" s="1"/>
  <c r="D73" i="13"/>
  <c r="D75" i="13" s="1"/>
  <c r="C73" i="13"/>
  <c r="C75" i="13"/>
  <c r="E71" i="13"/>
  <c r="D71" i="13"/>
  <c r="C71" i="13"/>
  <c r="E66" i="13"/>
  <c r="D66" i="13"/>
  <c r="D65" i="13" s="1"/>
  <c r="C66" i="13"/>
  <c r="E65" i="13"/>
  <c r="C65" i="13"/>
  <c r="E60" i="13"/>
  <c r="D60" i="13"/>
  <c r="C60" i="13"/>
  <c r="E58" i="13"/>
  <c r="D58" i="13"/>
  <c r="C58" i="13"/>
  <c r="E55" i="13"/>
  <c r="E50" i="13" s="1"/>
  <c r="D55" i="13"/>
  <c r="D50" i="13" s="1"/>
  <c r="C55" i="13"/>
  <c r="E54" i="13"/>
  <c r="D54" i="13"/>
  <c r="C54" i="13"/>
  <c r="C50" i="13" s="1"/>
  <c r="E46" i="13"/>
  <c r="D46" i="13"/>
  <c r="D48" i="13" s="1"/>
  <c r="C46" i="13"/>
  <c r="C59" i="13" s="1"/>
  <c r="C61" i="13" s="1"/>
  <c r="C57" i="13" s="1"/>
  <c r="E45" i="13"/>
  <c r="D45" i="13"/>
  <c r="C45" i="13"/>
  <c r="E38" i="13"/>
  <c r="D38" i="13"/>
  <c r="C38" i="13"/>
  <c r="E33" i="13"/>
  <c r="E34" i="13"/>
  <c r="D33" i="13"/>
  <c r="D34" i="13" s="1"/>
  <c r="E26" i="13"/>
  <c r="D26" i="13"/>
  <c r="C26" i="13"/>
  <c r="E13" i="13"/>
  <c r="E25" i="13" s="1"/>
  <c r="E27" i="13" s="1"/>
  <c r="D13" i="13"/>
  <c r="D25" i="13" s="1"/>
  <c r="D27" i="13" s="1"/>
  <c r="C13" i="13"/>
  <c r="C25" i="13" s="1"/>
  <c r="D47" i="12"/>
  <c r="E47" i="12" s="1"/>
  <c r="C47" i="12"/>
  <c r="F46" i="12"/>
  <c r="E46" i="12"/>
  <c r="E45" i="12"/>
  <c r="F45" i="12" s="1"/>
  <c r="D40" i="12"/>
  <c r="E40" i="12" s="1"/>
  <c r="C40" i="12"/>
  <c r="E39" i="12"/>
  <c r="F39" i="12" s="1"/>
  <c r="F38" i="12"/>
  <c r="E38" i="12"/>
  <c r="E37" i="12"/>
  <c r="F37" i="12" s="1"/>
  <c r="D32" i="12"/>
  <c r="C32" i="12"/>
  <c r="E31" i="12"/>
  <c r="F31" i="12" s="1"/>
  <c r="E30" i="12"/>
  <c r="F30" i="12" s="1"/>
  <c r="E29" i="12"/>
  <c r="F29" i="12" s="1"/>
  <c r="F28" i="12"/>
  <c r="E28" i="12"/>
  <c r="E27" i="12"/>
  <c r="F27" i="12" s="1"/>
  <c r="E26" i="12"/>
  <c r="F26" i="12" s="1"/>
  <c r="E25" i="12"/>
  <c r="F25" i="12" s="1"/>
  <c r="E24" i="12"/>
  <c r="F24" i="12" s="1"/>
  <c r="E23" i="12"/>
  <c r="F23" i="12" s="1"/>
  <c r="E19" i="12"/>
  <c r="F19" i="12" s="1"/>
  <c r="E18" i="12"/>
  <c r="F18" i="12" s="1"/>
  <c r="E16" i="12"/>
  <c r="F16" i="12" s="1"/>
  <c r="D15" i="12"/>
  <c r="D17" i="12" s="1"/>
  <c r="C15" i="12"/>
  <c r="C17" i="12" s="1"/>
  <c r="E14" i="12"/>
  <c r="F14" i="12" s="1"/>
  <c r="E13" i="12"/>
  <c r="F13" i="12" s="1"/>
  <c r="E12" i="12"/>
  <c r="F12" i="12" s="1"/>
  <c r="E11" i="12"/>
  <c r="F11" i="12" s="1"/>
  <c r="D73" i="11"/>
  <c r="E73" i="11" s="1"/>
  <c r="C73" i="11"/>
  <c r="E72" i="11"/>
  <c r="F72" i="11" s="1"/>
  <c r="E71" i="11"/>
  <c r="F71" i="11" s="1"/>
  <c r="E70" i="11"/>
  <c r="F70" i="11" s="1"/>
  <c r="F67" i="11"/>
  <c r="E67" i="11"/>
  <c r="E64" i="11"/>
  <c r="F64" i="11" s="1"/>
  <c r="E63" i="11"/>
  <c r="F63" i="11" s="1"/>
  <c r="D61" i="11"/>
  <c r="C61" i="11"/>
  <c r="E60" i="11"/>
  <c r="F60" i="11" s="1"/>
  <c r="F59" i="11"/>
  <c r="E59" i="11"/>
  <c r="D56" i="11"/>
  <c r="E56" i="11" s="1"/>
  <c r="C56" i="11"/>
  <c r="E55" i="11"/>
  <c r="F55" i="11" s="1"/>
  <c r="F54" i="11"/>
  <c r="E54" i="11"/>
  <c r="E53" i="11"/>
  <c r="F53" i="11" s="1"/>
  <c r="F52" i="11"/>
  <c r="E52" i="11"/>
  <c r="F51" i="11"/>
  <c r="E51" i="11"/>
  <c r="E50" i="11"/>
  <c r="F50" i="11" s="1"/>
  <c r="A50" i="11"/>
  <c r="A51" i="11" s="1"/>
  <c r="A52" i="11" s="1"/>
  <c r="A53" i="11" s="1"/>
  <c r="A54" i="11" s="1"/>
  <c r="A55" i="11" s="1"/>
  <c r="E49" i="11"/>
  <c r="F49" i="11" s="1"/>
  <c r="E40" i="11"/>
  <c r="F40" i="11" s="1"/>
  <c r="D38" i="11"/>
  <c r="C38" i="11"/>
  <c r="E37" i="11"/>
  <c r="F37" i="11" s="1"/>
  <c r="E36" i="11"/>
  <c r="F36" i="11" s="1"/>
  <c r="E33" i="11"/>
  <c r="F33" i="11" s="1"/>
  <c r="F32" i="11"/>
  <c r="E32" i="11"/>
  <c r="F31" i="11"/>
  <c r="E31" i="11"/>
  <c r="D29" i="11"/>
  <c r="C29" i="11"/>
  <c r="E28" i="11"/>
  <c r="F28" i="11" s="1"/>
  <c r="F27" i="11"/>
  <c r="E27" i="11"/>
  <c r="E26" i="11"/>
  <c r="F26" i="11" s="1"/>
  <c r="E25" i="11"/>
  <c r="F25" i="11" s="1"/>
  <c r="D22" i="11"/>
  <c r="C22" i="11"/>
  <c r="E21" i="11"/>
  <c r="F21" i="11" s="1"/>
  <c r="E20" i="11"/>
  <c r="F20" i="11" s="1"/>
  <c r="E19" i="11"/>
  <c r="F19" i="11" s="1"/>
  <c r="F18" i="11"/>
  <c r="E18" i="11"/>
  <c r="F17" i="11"/>
  <c r="E17" i="11"/>
  <c r="F16" i="11"/>
  <c r="E16" i="11"/>
  <c r="E15" i="11"/>
  <c r="F15" i="11" s="1"/>
  <c r="F14" i="11"/>
  <c r="E14" i="11"/>
  <c r="E13" i="11"/>
  <c r="F13" i="11" s="1"/>
  <c r="D120" i="10"/>
  <c r="E120" i="10" s="1"/>
  <c r="C120" i="10"/>
  <c r="F120" i="10" s="1"/>
  <c r="D119" i="10"/>
  <c r="C119" i="10"/>
  <c r="F119" i="10" s="1"/>
  <c r="D118" i="10"/>
  <c r="C118" i="10"/>
  <c r="F118" i="10" s="1"/>
  <c r="D117" i="10"/>
  <c r="C117" i="10"/>
  <c r="D116" i="10"/>
  <c r="C116" i="10"/>
  <c r="F116" i="10" s="1"/>
  <c r="D115" i="10"/>
  <c r="C115" i="10"/>
  <c r="F115" i="10"/>
  <c r="D114" i="10"/>
  <c r="E114" i="10" s="1"/>
  <c r="C114" i="10"/>
  <c r="F114" i="10" s="1"/>
  <c r="D113" i="10"/>
  <c r="D122" i="10" s="1"/>
  <c r="C113" i="10"/>
  <c r="F113" i="10" s="1"/>
  <c r="D112" i="10"/>
  <c r="C112" i="10"/>
  <c r="F112" i="10" s="1"/>
  <c r="D108" i="10"/>
  <c r="C108" i="10"/>
  <c r="F108" i="10"/>
  <c r="D107" i="10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/>
  <c r="D95" i="10"/>
  <c r="E95" i="10" s="1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 s="1"/>
  <c r="D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 s="1"/>
  <c r="D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 s="1"/>
  <c r="D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E48" i="10" s="1"/>
  <c r="C48" i="10"/>
  <c r="F48" i="10" s="1"/>
  <c r="D47" i="10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 s="1"/>
  <c r="D35" i="10"/>
  <c r="E35" i="10" s="1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 s="1"/>
  <c r="D23" i="10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 s="1"/>
  <c r="C206" i="9"/>
  <c r="D205" i="9"/>
  <c r="E205" i="9" s="1"/>
  <c r="F205" i="9" s="1"/>
  <c r="C205" i="9"/>
  <c r="D204" i="9"/>
  <c r="C204" i="9"/>
  <c r="D203" i="9"/>
  <c r="C203" i="9"/>
  <c r="E203" i="9" s="1"/>
  <c r="D202" i="9"/>
  <c r="E202" i="9" s="1"/>
  <c r="C202" i="9"/>
  <c r="D201" i="9"/>
  <c r="C201" i="9"/>
  <c r="E201" i="9" s="1"/>
  <c r="D200" i="9"/>
  <c r="C200" i="9"/>
  <c r="D199" i="9"/>
  <c r="D208" i="9" s="1"/>
  <c r="C199" i="9"/>
  <c r="D198" i="9"/>
  <c r="D207" i="9" s="1"/>
  <c r="C198" i="9"/>
  <c r="D193" i="9"/>
  <c r="C193" i="9"/>
  <c r="F193" i="9" s="1"/>
  <c r="D192" i="9"/>
  <c r="E192" i="9" s="1"/>
  <c r="C192" i="9"/>
  <c r="F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C180" i="9"/>
  <c r="F180" i="9" s="1"/>
  <c r="D179" i="9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E167" i="9" s="1"/>
  <c r="C167" i="9"/>
  <c r="F167" i="9" s="1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 s="1"/>
  <c r="D153" i="9"/>
  <c r="E153" i="9" s="1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 s="1"/>
  <c r="C141" i="9"/>
  <c r="D140" i="9"/>
  <c r="C140" i="9"/>
  <c r="E140" i="9" s="1"/>
  <c r="E139" i="9"/>
  <c r="F139" i="9" s="1"/>
  <c r="E138" i="9"/>
  <c r="F138" i="9" s="1"/>
  <c r="E137" i="9"/>
  <c r="F137" i="9" s="1"/>
  <c r="E136" i="9"/>
  <c r="F136" i="9" s="1"/>
  <c r="E135" i="9"/>
  <c r="F135" i="9" s="1"/>
  <c r="E134" i="9"/>
  <c r="F134" i="9" s="1"/>
  <c r="E133" i="9"/>
  <c r="F133" i="9" s="1"/>
  <c r="E132" i="9"/>
  <c r="F132" i="9" s="1"/>
  <c r="E131" i="9"/>
  <c r="F131" i="9" s="1"/>
  <c r="D128" i="9"/>
  <c r="C128" i="9"/>
  <c r="D127" i="9"/>
  <c r="C127" i="9"/>
  <c r="E126" i="9"/>
  <c r="F126" i="9" s="1"/>
  <c r="E125" i="9"/>
  <c r="F125" i="9" s="1"/>
  <c r="E124" i="9"/>
  <c r="F124" i="9" s="1"/>
  <c r="E123" i="9"/>
  <c r="F123" i="9" s="1"/>
  <c r="E122" i="9"/>
  <c r="F122" i="9" s="1"/>
  <c r="E121" i="9"/>
  <c r="F121" i="9" s="1"/>
  <c r="E120" i="9"/>
  <c r="F120" i="9" s="1"/>
  <c r="E119" i="9"/>
  <c r="F119" i="9" s="1"/>
  <c r="E118" i="9"/>
  <c r="F118" i="9" s="1"/>
  <c r="D115" i="9"/>
  <c r="C115" i="9"/>
  <c r="D114" i="9"/>
  <c r="C114" i="9"/>
  <c r="E114" i="9" s="1"/>
  <c r="E113" i="9"/>
  <c r="F113" i="9" s="1"/>
  <c r="E112" i="9"/>
  <c r="F112" i="9" s="1"/>
  <c r="E111" i="9"/>
  <c r="F111" i="9" s="1"/>
  <c r="E110" i="9"/>
  <c r="F110" i="9" s="1"/>
  <c r="E109" i="9"/>
  <c r="F109" i="9" s="1"/>
  <c r="E108" i="9"/>
  <c r="F108" i="9" s="1"/>
  <c r="E107" i="9"/>
  <c r="F107" i="9" s="1"/>
  <c r="E106" i="9"/>
  <c r="F106" i="9" s="1"/>
  <c r="E105" i="9"/>
  <c r="F105" i="9" s="1"/>
  <c r="D102" i="9"/>
  <c r="C102" i="9"/>
  <c r="D101" i="9"/>
  <c r="E101" i="9" s="1"/>
  <c r="C101" i="9"/>
  <c r="E100" i="9"/>
  <c r="F100" i="9" s="1"/>
  <c r="E99" i="9"/>
  <c r="F99" i="9" s="1"/>
  <c r="E98" i="9"/>
  <c r="F98" i="9" s="1"/>
  <c r="E97" i="9"/>
  <c r="F97" i="9" s="1"/>
  <c r="E96" i="9"/>
  <c r="F96" i="9" s="1"/>
  <c r="E95" i="9"/>
  <c r="F95" i="9" s="1"/>
  <c r="E94" i="9"/>
  <c r="F94" i="9" s="1"/>
  <c r="E93" i="9"/>
  <c r="F93" i="9" s="1"/>
  <c r="E92" i="9"/>
  <c r="F92" i="9" s="1"/>
  <c r="D89" i="9"/>
  <c r="E89" i="9" s="1"/>
  <c r="C89" i="9"/>
  <c r="F89" i="9" s="1"/>
  <c r="D88" i="9"/>
  <c r="C88" i="9"/>
  <c r="F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 s="1"/>
  <c r="C76" i="9"/>
  <c r="F76" i="9" s="1"/>
  <c r="D75" i="9"/>
  <c r="C75" i="9"/>
  <c r="F75" i="9" s="1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D63" i="9"/>
  <c r="C63" i="9"/>
  <c r="D62" i="9"/>
  <c r="E62" i="9" s="1"/>
  <c r="C62" i="9"/>
  <c r="E61" i="9"/>
  <c r="F61" i="9" s="1"/>
  <c r="E60" i="9"/>
  <c r="F60" i="9" s="1"/>
  <c r="E59" i="9"/>
  <c r="F59" i="9" s="1"/>
  <c r="E58" i="9"/>
  <c r="F58" i="9" s="1"/>
  <c r="E57" i="9"/>
  <c r="F57" i="9" s="1"/>
  <c r="E56" i="9"/>
  <c r="F56" i="9" s="1"/>
  <c r="E55" i="9"/>
  <c r="F55" i="9" s="1"/>
  <c r="E54" i="9"/>
  <c r="F54" i="9" s="1"/>
  <c r="E53" i="9"/>
  <c r="F53" i="9" s="1"/>
  <c r="D50" i="9"/>
  <c r="C50" i="9"/>
  <c r="D49" i="9"/>
  <c r="C49" i="9"/>
  <c r="E48" i="9"/>
  <c r="F48" i="9" s="1"/>
  <c r="E47" i="9"/>
  <c r="F47" i="9" s="1"/>
  <c r="E46" i="9"/>
  <c r="F46" i="9" s="1"/>
  <c r="E45" i="9"/>
  <c r="F45" i="9" s="1"/>
  <c r="F44" i="9"/>
  <c r="E44" i="9"/>
  <c r="E43" i="9"/>
  <c r="F43" i="9" s="1"/>
  <c r="E42" i="9"/>
  <c r="F42" i="9" s="1"/>
  <c r="E41" i="9"/>
  <c r="F41" i="9" s="1"/>
  <c r="F40" i="9"/>
  <c r="E40" i="9"/>
  <c r="D37" i="9"/>
  <c r="E37" i="9" s="1"/>
  <c r="C37" i="9"/>
  <c r="F37" i="9" s="1"/>
  <c r="D36" i="9"/>
  <c r="C36" i="9"/>
  <c r="F36" i="9" s="1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 s="1"/>
  <c r="C24" i="9"/>
  <c r="D23" i="9"/>
  <c r="C23" i="9"/>
  <c r="F22" i="9"/>
  <c r="E22" i="9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F14" i="9"/>
  <c r="E14" i="9"/>
  <c r="E191" i="8"/>
  <c r="D191" i="8"/>
  <c r="C191" i="8"/>
  <c r="E176" i="8"/>
  <c r="D176" i="8"/>
  <c r="C176" i="8"/>
  <c r="E164" i="8"/>
  <c r="E160" i="8" s="1"/>
  <c r="D164" i="8"/>
  <c r="C164" i="8"/>
  <c r="C160" i="8" s="1"/>
  <c r="C166" i="8" s="1"/>
  <c r="C156" i="8" s="1"/>
  <c r="E162" i="8"/>
  <c r="D162" i="8"/>
  <c r="C162" i="8"/>
  <c r="E161" i="8"/>
  <c r="D161" i="8"/>
  <c r="C161" i="8"/>
  <c r="D160" i="8"/>
  <c r="D166" i="8" s="1"/>
  <c r="E147" i="8"/>
  <c r="D147" i="8"/>
  <c r="D143" i="8" s="1"/>
  <c r="D149" i="8" s="1"/>
  <c r="D136" i="8" s="1"/>
  <c r="C147" i="8"/>
  <c r="E145" i="8"/>
  <c r="D145" i="8"/>
  <c r="C145" i="8"/>
  <c r="E144" i="8"/>
  <c r="D144" i="8"/>
  <c r="C144" i="8"/>
  <c r="E143" i="8"/>
  <c r="C143" i="8"/>
  <c r="C149" i="8" s="1"/>
  <c r="E126" i="8"/>
  <c r="D126" i="8"/>
  <c r="C126" i="8"/>
  <c r="E119" i="8"/>
  <c r="D119" i="8"/>
  <c r="C119" i="8"/>
  <c r="E108" i="8"/>
  <c r="D108" i="8"/>
  <c r="C108" i="8"/>
  <c r="E107" i="8"/>
  <c r="E109" i="8" s="1"/>
  <c r="E106" i="8" s="1"/>
  <c r="D107" i="8"/>
  <c r="C107" i="8"/>
  <c r="C109" i="8"/>
  <c r="C106" i="8" s="1"/>
  <c r="E102" i="8"/>
  <c r="E104" i="8" s="1"/>
  <c r="D102" i="8"/>
  <c r="D104" i="8" s="1"/>
  <c r="C102" i="8"/>
  <c r="C104" i="8" s="1"/>
  <c r="E100" i="8"/>
  <c r="D100" i="8"/>
  <c r="C100" i="8"/>
  <c r="E95" i="8"/>
  <c r="D95" i="8"/>
  <c r="D94" i="8" s="1"/>
  <c r="C95" i="8"/>
  <c r="C94" i="8" s="1"/>
  <c r="E94" i="8"/>
  <c r="E89" i="8"/>
  <c r="D89" i="8"/>
  <c r="C89" i="8"/>
  <c r="E87" i="8"/>
  <c r="D87" i="8"/>
  <c r="C87" i="8"/>
  <c r="E84" i="8"/>
  <c r="D84" i="8"/>
  <c r="D79" i="8" s="1"/>
  <c r="C84" i="8"/>
  <c r="E83" i="8"/>
  <c r="D83" i="8"/>
  <c r="C83" i="8"/>
  <c r="C79" i="8" s="1"/>
  <c r="E75" i="8"/>
  <c r="E88" i="8" s="1"/>
  <c r="E90" i="8" s="1"/>
  <c r="E86" i="8" s="1"/>
  <c r="D75" i="8"/>
  <c r="D88" i="8" s="1"/>
  <c r="D90" i="8" s="1"/>
  <c r="C75" i="8"/>
  <c r="E74" i="8"/>
  <c r="D74" i="8"/>
  <c r="C74" i="8"/>
  <c r="E67" i="8"/>
  <c r="D67" i="8"/>
  <c r="C67" i="8"/>
  <c r="E38" i="8"/>
  <c r="E57" i="8" s="1"/>
  <c r="E62" i="8" s="1"/>
  <c r="D38" i="8"/>
  <c r="C38" i="8"/>
  <c r="C57" i="8" s="1"/>
  <c r="C62" i="8" s="1"/>
  <c r="E33" i="8"/>
  <c r="E34" i="8" s="1"/>
  <c r="D33" i="8"/>
  <c r="D34" i="8" s="1"/>
  <c r="E26" i="8"/>
  <c r="D26" i="8"/>
  <c r="C26" i="8"/>
  <c r="E13" i="8"/>
  <c r="E25" i="8" s="1"/>
  <c r="E27" i="8" s="1"/>
  <c r="D13" i="8"/>
  <c r="D25" i="8" s="1"/>
  <c r="C13" i="8"/>
  <c r="C25" i="8" s="1"/>
  <c r="E186" i="7"/>
  <c r="F186" i="7" s="1"/>
  <c r="D183" i="7"/>
  <c r="C183" i="7"/>
  <c r="F182" i="7"/>
  <c r="E182" i="7"/>
  <c r="E181" i="7"/>
  <c r="F181" i="7" s="1"/>
  <c r="F180" i="7"/>
  <c r="E180" i="7"/>
  <c r="E179" i="7"/>
  <c r="F179" i="7" s="1"/>
  <c r="E178" i="7"/>
  <c r="F178" i="7" s="1"/>
  <c r="E177" i="7"/>
  <c r="F177" i="7" s="1"/>
  <c r="E176" i="7"/>
  <c r="F176" i="7" s="1"/>
  <c r="F175" i="7"/>
  <c r="E175" i="7"/>
  <c r="E174" i="7"/>
  <c r="F174" i="7" s="1"/>
  <c r="E173" i="7"/>
  <c r="F173" i="7" s="1"/>
  <c r="E172" i="7"/>
  <c r="F172" i="7" s="1"/>
  <c r="F171" i="7"/>
  <c r="E171" i="7"/>
  <c r="E170" i="7"/>
  <c r="F170" i="7" s="1"/>
  <c r="D167" i="7"/>
  <c r="C167" i="7"/>
  <c r="E167" i="7" s="1"/>
  <c r="F167" i="7" s="1"/>
  <c r="E166" i="7"/>
  <c r="F166" i="7" s="1"/>
  <c r="E165" i="7"/>
  <c r="F165" i="7" s="1"/>
  <c r="F164" i="7"/>
  <c r="E164" i="7"/>
  <c r="E163" i="7"/>
  <c r="F163" i="7" s="1"/>
  <c r="F162" i="7"/>
  <c r="E162" i="7"/>
  <c r="F161" i="7"/>
  <c r="E161" i="7"/>
  <c r="E160" i="7"/>
  <c r="F160" i="7" s="1"/>
  <c r="F159" i="7"/>
  <c r="E159" i="7"/>
  <c r="F158" i="7"/>
  <c r="E158" i="7"/>
  <c r="E157" i="7"/>
  <c r="F157" i="7" s="1"/>
  <c r="E156" i="7"/>
  <c r="F156" i="7" s="1"/>
  <c r="E155" i="7"/>
  <c r="F155" i="7" s="1"/>
  <c r="E154" i="7"/>
  <c r="F154" i="7" s="1"/>
  <c r="F153" i="7"/>
  <c r="E153" i="7"/>
  <c r="E152" i="7"/>
  <c r="F152" i="7" s="1"/>
  <c r="E151" i="7"/>
  <c r="F151" i="7" s="1"/>
  <c r="E150" i="7"/>
  <c r="F150" i="7" s="1"/>
  <c r="F149" i="7"/>
  <c r="E149" i="7"/>
  <c r="F148" i="7"/>
  <c r="E148" i="7"/>
  <c r="F147" i="7"/>
  <c r="E147" i="7"/>
  <c r="E146" i="7"/>
  <c r="F146" i="7" s="1"/>
  <c r="F145" i="7"/>
  <c r="E145" i="7"/>
  <c r="F144" i="7"/>
  <c r="E144" i="7"/>
  <c r="E143" i="7"/>
  <c r="F143" i="7" s="1"/>
  <c r="E142" i="7"/>
  <c r="F142" i="7" s="1"/>
  <c r="E141" i="7"/>
  <c r="F141" i="7" s="1"/>
  <c r="E140" i="7"/>
  <c r="F140" i="7" s="1"/>
  <c r="E139" i="7"/>
  <c r="F139" i="7" s="1"/>
  <c r="E138" i="7"/>
  <c r="F138" i="7" s="1"/>
  <c r="E137" i="7"/>
  <c r="F137" i="7" s="1"/>
  <c r="F136" i="7"/>
  <c r="E136" i="7"/>
  <c r="F135" i="7"/>
  <c r="E135" i="7"/>
  <c r="E134" i="7"/>
  <c r="F134" i="7" s="1"/>
  <c r="E133" i="7"/>
  <c r="F133" i="7" s="1"/>
  <c r="D130" i="7"/>
  <c r="E130" i="7" s="1"/>
  <c r="C130" i="7"/>
  <c r="F129" i="7"/>
  <c r="E129" i="7"/>
  <c r="E128" i="7"/>
  <c r="F128" i="7" s="1"/>
  <c r="E127" i="7"/>
  <c r="F127" i="7" s="1"/>
  <c r="E126" i="7"/>
  <c r="F126" i="7" s="1"/>
  <c r="E125" i="7"/>
  <c r="F125" i="7" s="1"/>
  <c r="E124" i="7"/>
  <c r="F124" i="7" s="1"/>
  <c r="D121" i="7"/>
  <c r="C121" i="7"/>
  <c r="E120" i="7"/>
  <c r="F120" i="7" s="1"/>
  <c r="E119" i="7"/>
  <c r="F119" i="7" s="1"/>
  <c r="E118" i="7"/>
  <c r="F118" i="7" s="1"/>
  <c r="E117" i="7"/>
  <c r="F117" i="7" s="1"/>
  <c r="E116" i="7"/>
  <c r="F116" i="7" s="1"/>
  <c r="F115" i="7"/>
  <c r="E115" i="7"/>
  <c r="F114" i="7"/>
  <c r="E114" i="7"/>
  <c r="E113" i="7"/>
  <c r="F113" i="7" s="1"/>
  <c r="E112" i="7"/>
  <c r="F112" i="7" s="1"/>
  <c r="E111" i="7"/>
  <c r="F111" i="7" s="1"/>
  <c r="E110" i="7"/>
  <c r="F110" i="7" s="1"/>
  <c r="E109" i="7"/>
  <c r="F109" i="7" s="1"/>
  <c r="E108" i="7"/>
  <c r="F108" i="7" s="1"/>
  <c r="F107" i="7"/>
  <c r="E107" i="7"/>
  <c r="F106" i="7"/>
  <c r="E106" i="7"/>
  <c r="E105" i="7"/>
  <c r="F105" i="7" s="1"/>
  <c r="E104" i="7"/>
  <c r="F104" i="7" s="1"/>
  <c r="E103" i="7"/>
  <c r="F103" i="7" s="1"/>
  <c r="F93" i="7"/>
  <c r="E93" i="7"/>
  <c r="D90" i="7"/>
  <c r="C90" i="7"/>
  <c r="E89" i="7"/>
  <c r="F89" i="7" s="1"/>
  <c r="E88" i="7"/>
  <c r="F88" i="7" s="1"/>
  <c r="E87" i="7"/>
  <c r="F87" i="7" s="1"/>
  <c r="E86" i="7"/>
  <c r="F86" i="7" s="1"/>
  <c r="E85" i="7"/>
  <c r="F85" i="7" s="1"/>
  <c r="E84" i="7"/>
  <c r="F84" i="7" s="1"/>
  <c r="E83" i="7"/>
  <c r="F83" i="7" s="1"/>
  <c r="E82" i="7"/>
  <c r="F82" i="7" s="1"/>
  <c r="E81" i="7"/>
  <c r="F81" i="7" s="1"/>
  <c r="E80" i="7"/>
  <c r="F80" i="7" s="1"/>
  <c r="E79" i="7"/>
  <c r="F79" i="7" s="1"/>
  <c r="F78" i="7"/>
  <c r="E78" i="7"/>
  <c r="E77" i="7"/>
  <c r="F77" i="7" s="1"/>
  <c r="E76" i="7"/>
  <c r="F76" i="7" s="1"/>
  <c r="E75" i="7"/>
  <c r="F75" i="7" s="1"/>
  <c r="E74" i="7"/>
  <c r="F74" i="7" s="1"/>
  <c r="E73" i="7"/>
  <c r="F73" i="7" s="1"/>
  <c r="E72" i="7"/>
  <c r="F72" i="7" s="1"/>
  <c r="E71" i="7"/>
  <c r="F71" i="7" s="1"/>
  <c r="E70" i="7"/>
  <c r="F70" i="7" s="1"/>
  <c r="E69" i="7"/>
  <c r="F69" i="7" s="1"/>
  <c r="E68" i="7"/>
  <c r="F68" i="7" s="1"/>
  <c r="E67" i="7"/>
  <c r="F67" i="7" s="1"/>
  <c r="E66" i="7"/>
  <c r="F66" i="7" s="1"/>
  <c r="E65" i="7"/>
  <c r="F65" i="7" s="1"/>
  <c r="E64" i="7"/>
  <c r="F64" i="7" s="1"/>
  <c r="E63" i="7"/>
  <c r="F63" i="7" s="1"/>
  <c r="E62" i="7"/>
  <c r="F62" i="7" s="1"/>
  <c r="D59" i="7"/>
  <c r="E59" i="7" s="1"/>
  <c r="C59" i="7"/>
  <c r="E58" i="7"/>
  <c r="F58" i="7" s="1"/>
  <c r="F57" i="7"/>
  <c r="E57" i="7"/>
  <c r="E56" i="7"/>
  <c r="F56" i="7" s="1"/>
  <c r="F55" i="7"/>
  <c r="E55" i="7"/>
  <c r="F54" i="7"/>
  <c r="E54" i="7"/>
  <c r="E53" i="7"/>
  <c r="F53" i="7" s="1"/>
  <c r="E50" i="7"/>
  <c r="F50" i="7" s="1"/>
  <c r="E47" i="7"/>
  <c r="F47" i="7" s="1"/>
  <c r="F44" i="7"/>
  <c r="E44" i="7"/>
  <c r="D41" i="7"/>
  <c r="E41" i="7" s="1"/>
  <c r="C41" i="7"/>
  <c r="F40" i="7"/>
  <c r="E40" i="7"/>
  <c r="E39" i="7"/>
  <c r="F39" i="7" s="1"/>
  <c r="E38" i="7"/>
  <c r="F38" i="7" s="1"/>
  <c r="D35" i="7"/>
  <c r="E35" i="7" s="1"/>
  <c r="C35" i="7"/>
  <c r="F34" i="7"/>
  <c r="E34" i="7"/>
  <c r="F33" i="7"/>
  <c r="E33" i="7"/>
  <c r="D30" i="7"/>
  <c r="E30" i="7"/>
  <c r="C30" i="7"/>
  <c r="E29" i="7"/>
  <c r="F29" i="7" s="1"/>
  <c r="E28" i="7"/>
  <c r="F28" i="7" s="1"/>
  <c r="E27" i="7"/>
  <c r="F27" i="7" s="1"/>
  <c r="D24" i="7"/>
  <c r="E24" i="7"/>
  <c r="F24" i="7" s="1"/>
  <c r="C24" i="7"/>
  <c r="E23" i="7"/>
  <c r="F23" i="7" s="1"/>
  <c r="F22" i="7"/>
  <c r="E22" i="7"/>
  <c r="E21" i="7"/>
  <c r="F21" i="7" s="1"/>
  <c r="D18" i="7"/>
  <c r="C18" i="7"/>
  <c r="E17" i="7"/>
  <c r="F17" i="7" s="1"/>
  <c r="F16" i="7"/>
  <c r="E16" i="7"/>
  <c r="E15" i="7"/>
  <c r="F15" i="7" s="1"/>
  <c r="D179" i="6"/>
  <c r="C179" i="6"/>
  <c r="F178" i="6"/>
  <c r="E178" i="6"/>
  <c r="F177" i="6"/>
  <c r="E177" i="6"/>
  <c r="E176" i="6"/>
  <c r="F176" i="6" s="1"/>
  <c r="E175" i="6"/>
  <c r="F175" i="6" s="1"/>
  <c r="E174" i="6"/>
  <c r="F174" i="6" s="1"/>
  <c r="F173" i="6"/>
  <c r="E173" i="6"/>
  <c r="E172" i="6"/>
  <c r="F172" i="6" s="1"/>
  <c r="F171" i="6"/>
  <c r="E171" i="6"/>
  <c r="E170" i="6"/>
  <c r="F170" i="6" s="1"/>
  <c r="E169" i="6"/>
  <c r="F169" i="6" s="1"/>
  <c r="E168" i="6"/>
  <c r="F168" i="6" s="1"/>
  <c r="D166" i="6"/>
  <c r="E166" i="6" s="1"/>
  <c r="C166" i="6"/>
  <c r="F165" i="6"/>
  <c r="E165" i="6"/>
  <c r="F164" i="6"/>
  <c r="E164" i="6"/>
  <c r="E163" i="6"/>
  <c r="F163" i="6" s="1"/>
  <c r="E162" i="6"/>
  <c r="F162" i="6" s="1"/>
  <c r="E161" i="6"/>
  <c r="F161" i="6" s="1"/>
  <c r="E160" i="6"/>
  <c r="F160" i="6" s="1"/>
  <c r="E159" i="6"/>
  <c r="F159" i="6" s="1"/>
  <c r="F158" i="6"/>
  <c r="E158" i="6"/>
  <c r="F157" i="6"/>
  <c r="E157" i="6"/>
  <c r="F156" i="6"/>
  <c r="E156" i="6"/>
  <c r="E155" i="6"/>
  <c r="F155" i="6" s="1"/>
  <c r="D153" i="6"/>
  <c r="E153" i="6" s="1"/>
  <c r="F153" i="6" s="1"/>
  <c r="C153" i="6"/>
  <c r="F152" i="6"/>
  <c r="E152" i="6"/>
  <c r="F151" i="6"/>
  <c r="E151" i="6"/>
  <c r="E150" i="6"/>
  <c r="F150" i="6" s="1"/>
  <c r="F149" i="6"/>
  <c r="E149" i="6"/>
  <c r="E148" i="6"/>
  <c r="F148" i="6" s="1"/>
  <c r="E147" i="6"/>
  <c r="F147" i="6" s="1"/>
  <c r="E146" i="6"/>
  <c r="F146" i="6" s="1"/>
  <c r="F145" i="6"/>
  <c r="E145" i="6"/>
  <c r="F144" i="6"/>
  <c r="E144" i="6"/>
  <c r="E143" i="6"/>
  <c r="F143" i="6" s="1"/>
  <c r="E142" i="6"/>
  <c r="F142" i="6" s="1"/>
  <c r="D137" i="6"/>
  <c r="C137" i="6"/>
  <c r="F136" i="6"/>
  <c r="E136" i="6"/>
  <c r="F135" i="6"/>
  <c r="E135" i="6"/>
  <c r="E134" i="6"/>
  <c r="F134" i="6" s="1"/>
  <c r="E133" i="6"/>
  <c r="F133" i="6" s="1"/>
  <c r="E132" i="6"/>
  <c r="F132" i="6" s="1"/>
  <c r="E131" i="6"/>
  <c r="F131" i="6" s="1"/>
  <c r="F130" i="6"/>
  <c r="E130" i="6"/>
  <c r="F129" i="6"/>
  <c r="E129" i="6"/>
  <c r="E128" i="6"/>
  <c r="F128" i="6" s="1"/>
  <c r="E127" i="6"/>
  <c r="F127" i="6" s="1"/>
  <c r="E126" i="6"/>
  <c r="F126" i="6" s="1"/>
  <c r="D124" i="6"/>
  <c r="E124" i="6" s="1"/>
  <c r="C124" i="6"/>
  <c r="F123" i="6"/>
  <c r="E123" i="6"/>
  <c r="F122" i="6"/>
  <c r="E122" i="6"/>
  <c r="E121" i="6"/>
  <c r="F121" i="6" s="1"/>
  <c r="E120" i="6"/>
  <c r="F120" i="6" s="1"/>
  <c r="E119" i="6"/>
  <c r="F119" i="6" s="1"/>
  <c r="E118" i="6"/>
  <c r="F118" i="6" s="1"/>
  <c r="F117" i="6"/>
  <c r="E117" i="6"/>
  <c r="F116" i="6"/>
  <c r="E116" i="6"/>
  <c r="E115" i="6"/>
  <c r="F115" i="6" s="1"/>
  <c r="E114" i="6"/>
  <c r="F114" i="6" s="1"/>
  <c r="F113" i="6"/>
  <c r="E113" i="6"/>
  <c r="D111" i="6"/>
  <c r="E111" i="6" s="1"/>
  <c r="C111" i="6"/>
  <c r="F110" i="6"/>
  <c r="E110" i="6"/>
  <c r="F109" i="6"/>
  <c r="E109" i="6"/>
  <c r="E108" i="6"/>
  <c r="F108" i="6" s="1"/>
  <c r="E107" i="6"/>
  <c r="F107" i="6" s="1"/>
  <c r="E106" i="6"/>
  <c r="F106" i="6" s="1"/>
  <c r="F105" i="6"/>
  <c r="E105" i="6"/>
  <c r="E104" i="6"/>
  <c r="F104" i="6" s="1"/>
  <c r="F103" i="6"/>
  <c r="E103" i="6"/>
  <c r="F102" i="6"/>
  <c r="E102" i="6"/>
  <c r="E101" i="6"/>
  <c r="F101" i="6" s="1"/>
  <c r="E100" i="6"/>
  <c r="F100" i="6" s="1"/>
  <c r="D94" i="6"/>
  <c r="E94" i="6"/>
  <c r="C94" i="6"/>
  <c r="F94" i="6" s="1"/>
  <c r="D93" i="6"/>
  <c r="E93" i="6" s="1"/>
  <c r="C93" i="6"/>
  <c r="F93" i="6" s="1"/>
  <c r="D92" i="6"/>
  <c r="E92" i="6"/>
  <c r="C92" i="6"/>
  <c r="F92" i="6" s="1"/>
  <c r="D91" i="6"/>
  <c r="C91" i="6"/>
  <c r="D90" i="6"/>
  <c r="E90" i="6" s="1"/>
  <c r="C90" i="6"/>
  <c r="F90" i="6" s="1"/>
  <c r="D89" i="6"/>
  <c r="C89" i="6"/>
  <c r="D88" i="6"/>
  <c r="C88" i="6"/>
  <c r="D87" i="6"/>
  <c r="C87" i="6"/>
  <c r="F87" i="6" s="1"/>
  <c r="D86" i="6"/>
  <c r="F86" i="6"/>
  <c r="C86" i="6"/>
  <c r="E86" i="6" s="1"/>
  <c r="D85" i="6"/>
  <c r="E85" i="6" s="1"/>
  <c r="C85" i="6"/>
  <c r="D84" i="6"/>
  <c r="C84" i="6"/>
  <c r="D81" i="6"/>
  <c r="C81" i="6"/>
  <c r="F80" i="6"/>
  <c r="E80" i="6"/>
  <c r="F79" i="6"/>
  <c r="E79" i="6"/>
  <c r="F78" i="6"/>
  <c r="E78" i="6"/>
  <c r="E77" i="6"/>
  <c r="F77" i="6" s="1"/>
  <c r="E76" i="6"/>
  <c r="F76" i="6" s="1"/>
  <c r="F75" i="6"/>
  <c r="E75" i="6"/>
  <c r="E74" i="6"/>
  <c r="F74" i="6" s="1"/>
  <c r="F73" i="6"/>
  <c r="E73" i="6"/>
  <c r="E72" i="6"/>
  <c r="F72" i="6" s="1"/>
  <c r="F71" i="6"/>
  <c r="E71" i="6"/>
  <c r="F70" i="6"/>
  <c r="E70" i="6"/>
  <c r="D68" i="6"/>
  <c r="E68" i="6"/>
  <c r="C68" i="6"/>
  <c r="F67" i="6"/>
  <c r="E67" i="6"/>
  <c r="F66" i="6"/>
  <c r="E66" i="6"/>
  <c r="E65" i="6"/>
  <c r="F65" i="6" s="1"/>
  <c r="E64" i="6"/>
  <c r="F64" i="6" s="1"/>
  <c r="F63" i="6"/>
  <c r="E63" i="6"/>
  <c r="E62" i="6"/>
  <c r="F62" i="6" s="1"/>
  <c r="E61" i="6"/>
  <c r="F61" i="6" s="1"/>
  <c r="F60" i="6"/>
  <c r="E60" i="6"/>
  <c r="E59" i="6"/>
  <c r="F59" i="6" s="1"/>
  <c r="E58" i="6"/>
  <c r="F58" i="6" s="1"/>
  <c r="E57" i="6"/>
  <c r="F57" i="6" s="1"/>
  <c r="D51" i="6"/>
  <c r="E51" i="6" s="1"/>
  <c r="C51" i="6"/>
  <c r="F51" i="6" s="1"/>
  <c r="D50" i="6"/>
  <c r="C50" i="6"/>
  <c r="F50" i="6" s="1"/>
  <c r="D49" i="6"/>
  <c r="C49" i="6"/>
  <c r="E49" i="6" s="1"/>
  <c r="F49" i="6" s="1"/>
  <c r="D48" i="6"/>
  <c r="E48" i="6" s="1"/>
  <c r="C48" i="6"/>
  <c r="D47" i="6"/>
  <c r="E47" i="6"/>
  <c r="C47" i="6"/>
  <c r="F47" i="6" s="1"/>
  <c r="D46" i="6"/>
  <c r="E46" i="6" s="1"/>
  <c r="C46" i="6"/>
  <c r="D45" i="6"/>
  <c r="E45" i="6" s="1"/>
  <c r="C45" i="6"/>
  <c r="F45" i="6" s="1"/>
  <c r="D44" i="6"/>
  <c r="C44" i="6"/>
  <c r="F44" i="6" s="1"/>
  <c r="D43" i="6"/>
  <c r="C43" i="6"/>
  <c r="D42" i="6"/>
  <c r="C42" i="6"/>
  <c r="D41" i="6"/>
  <c r="E41" i="6"/>
  <c r="F41" i="6"/>
  <c r="C41" i="6"/>
  <c r="D38" i="6"/>
  <c r="E38" i="6" s="1"/>
  <c r="F38" i="6" s="1"/>
  <c r="C38" i="6"/>
  <c r="F37" i="6"/>
  <c r="E37" i="6"/>
  <c r="F36" i="6"/>
  <c r="E36" i="6"/>
  <c r="F35" i="6"/>
  <c r="E35" i="6"/>
  <c r="F34" i="6"/>
  <c r="E34" i="6"/>
  <c r="E33" i="6"/>
  <c r="F33" i="6" s="1"/>
  <c r="E32" i="6"/>
  <c r="F32" i="6" s="1"/>
  <c r="E31" i="6"/>
  <c r="F31" i="6" s="1"/>
  <c r="F30" i="6"/>
  <c r="E30" i="6"/>
  <c r="E29" i="6"/>
  <c r="F29" i="6" s="1"/>
  <c r="E28" i="6"/>
  <c r="F28" i="6" s="1"/>
  <c r="E27" i="6"/>
  <c r="F27" i="6" s="1"/>
  <c r="D25" i="6"/>
  <c r="C25" i="6"/>
  <c r="F24" i="6"/>
  <c r="E24" i="6"/>
  <c r="F23" i="6"/>
  <c r="E23" i="6"/>
  <c r="E22" i="6"/>
  <c r="F22" i="6" s="1"/>
  <c r="E21" i="6"/>
  <c r="F21" i="6" s="1"/>
  <c r="E20" i="6"/>
  <c r="F20" i="6" s="1"/>
  <c r="F19" i="6"/>
  <c r="E19" i="6"/>
  <c r="F18" i="6"/>
  <c r="E18" i="6"/>
  <c r="F17" i="6"/>
  <c r="E17" i="6"/>
  <c r="E16" i="6"/>
  <c r="F16" i="6" s="1"/>
  <c r="E15" i="6"/>
  <c r="F15" i="6" s="1"/>
  <c r="E14" i="6"/>
  <c r="F14" i="6" s="1"/>
  <c r="E51" i="5"/>
  <c r="F51" i="5" s="1"/>
  <c r="D48" i="5"/>
  <c r="E48" i="5"/>
  <c r="F48" i="5" s="1"/>
  <c r="C48" i="5"/>
  <c r="F47" i="5"/>
  <c r="E47" i="5"/>
  <c r="E46" i="5"/>
  <c r="F46" i="5" s="1"/>
  <c r="D41" i="5"/>
  <c r="E41" i="5" s="1"/>
  <c r="F41" i="5" s="1"/>
  <c r="C41" i="5"/>
  <c r="F40" i="5"/>
  <c r="E40" i="5"/>
  <c r="F39" i="5"/>
  <c r="E39" i="5"/>
  <c r="E38" i="5"/>
  <c r="F38" i="5" s="1"/>
  <c r="D33" i="5"/>
  <c r="E33" i="5" s="1"/>
  <c r="C33" i="5"/>
  <c r="F33" i="5" s="1"/>
  <c r="E32" i="5"/>
  <c r="F32" i="5" s="1"/>
  <c r="E31" i="5"/>
  <c r="F31" i="5" s="1"/>
  <c r="E30" i="5"/>
  <c r="F30" i="5" s="1"/>
  <c r="F29" i="5"/>
  <c r="E29" i="5"/>
  <c r="E28" i="5"/>
  <c r="F28" i="5" s="1"/>
  <c r="E27" i="5"/>
  <c r="F27" i="5" s="1"/>
  <c r="F26" i="5"/>
  <c r="E26" i="5"/>
  <c r="E25" i="5"/>
  <c r="F25" i="5" s="1"/>
  <c r="E24" i="5"/>
  <c r="F24" i="5" s="1"/>
  <c r="E20" i="5"/>
  <c r="F20" i="5" s="1"/>
  <c r="E19" i="5"/>
  <c r="F19" i="5" s="1"/>
  <c r="F17" i="5"/>
  <c r="E17" i="5"/>
  <c r="D16" i="5"/>
  <c r="E16" i="5"/>
  <c r="C16" i="5"/>
  <c r="F15" i="5"/>
  <c r="E15" i="5"/>
  <c r="E14" i="5"/>
  <c r="F14" i="5" s="1"/>
  <c r="F13" i="5"/>
  <c r="E13" i="5"/>
  <c r="E12" i="5"/>
  <c r="F12" i="5" s="1"/>
  <c r="D73" i="4"/>
  <c r="E73" i="4" s="1"/>
  <c r="C73" i="4"/>
  <c r="E72" i="4"/>
  <c r="F72" i="4" s="1"/>
  <c r="E71" i="4"/>
  <c r="F71" i="4" s="1"/>
  <c r="E70" i="4"/>
  <c r="F70" i="4" s="1"/>
  <c r="F67" i="4"/>
  <c r="E67" i="4"/>
  <c r="E64" i="4"/>
  <c r="F64" i="4" s="1"/>
  <c r="E63" i="4"/>
  <c r="F63" i="4" s="1"/>
  <c r="D61" i="4"/>
  <c r="D65" i="4" s="1"/>
  <c r="C61" i="4"/>
  <c r="C65" i="4"/>
  <c r="F60" i="4"/>
  <c r="E60" i="4"/>
  <c r="F59" i="4"/>
  <c r="E59" i="4"/>
  <c r="D56" i="4"/>
  <c r="C56" i="4"/>
  <c r="E55" i="4"/>
  <c r="F55" i="4" s="1"/>
  <c r="F54" i="4"/>
  <c r="E54" i="4"/>
  <c r="E53" i="4"/>
  <c r="F53" i="4" s="1"/>
  <c r="F52" i="4"/>
  <c r="E52" i="4"/>
  <c r="F51" i="4"/>
  <c r="E51" i="4"/>
  <c r="E50" i="4"/>
  <c r="F50" i="4" s="1"/>
  <c r="A50" i="4"/>
  <c r="A51" i="4" s="1"/>
  <c r="A52" i="4" s="1"/>
  <c r="A53" i="4" s="1"/>
  <c r="A54" i="4" s="1"/>
  <c r="A55" i="4" s="1"/>
  <c r="E49" i="4"/>
  <c r="F49" i="4" s="1"/>
  <c r="E40" i="4"/>
  <c r="F40" i="4" s="1"/>
  <c r="D38" i="4"/>
  <c r="D41" i="4" s="1"/>
  <c r="E41" i="4" s="1"/>
  <c r="F41" i="4" s="1"/>
  <c r="C38" i="4"/>
  <c r="C41" i="4"/>
  <c r="E37" i="4"/>
  <c r="F37" i="4" s="1"/>
  <c r="E36" i="4"/>
  <c r="F36" i="4" s="1"/>
  <c r="F33" i="4"/>
  <c r="E33" i="4"/>
  <c r="E32" i="4"/>
  <c r="F32" i="4" s="1"/>
  <c r="F31" i="4"/>
  <c r="E31" i="4"/>
  <c r="D29" i="4"/>
  <c r="C29" i="4"/>
  <c r="E29" i="4" s="1"/>
  <c r="F29" i="4" s="1"/>
  <c r="F28" i="4"/>
  <c r="E28" i="4"/>
  <c r="F27" i="4"/>
  <c r="E27" i="4"/>
  <c r="E26" i="4"/>
  <c r="F26" i="4" s="1"/>
  <c r="E25" i="4"/>
  <c r="F25" i="4" s="1"/>
  <c r="D22" i="4"/>
  <c r="C22" i="4"/>
  <c r="C43" i="4"/>
  <c r="E21" i="4"/>
  <c r="F21" i="4" s="1"/>
  <c r="E20" i="4"/>
  <c r="F20" i="4" s="1"/>
  <c r="E19" i="4"/>
  <c r="F19" i="4" s="1"/>
  <c r="F18" i="4"/>
  <c r="E18" i="4"/>
  <c r="F17" i="4"/>
  <c r="E17" i="4"/>
  <c r="F16" i="4"/>
  <c r="E16" i="4"/>
  <c r="E15" i="4"/>
  <c r="F15" i="4" s="1"/>
  <c r="E14" i="4"/>
  <c r="F14" i="4" s="1"/>
  <c r="E13" i="4"/>
  <c r="F13" i="4" s="1"/>
  <c r="C109" i="22"/>
  <c r="C108" i="22"/>
  <c r="E109" i="22"/>
  <c r="D192" i="17"/>
  <c r="D22" i="22"/>
  <c r="C23" i="22"/>
  <c r="E23" i="22"/>
  <c r="C34" i="22"/>
  <c r="E34" i="22"/>
  <c r="C102" i="22"/>
  <c r="E102" i="22"/>
  <c r="C22" i="22"/>
  <c r="E22" i="22"/>
  <c r="E19" i="21"/>
  <c r="F19" i="21" s="1"/>
  <c r="E21" i="21"/>
  <c r="C41" i="20"/>
  <c r="D41" i="20"/>
  <c r="E39" i="20"/>
  <c r="E19" i="20"/>
  <c r="F19" i="20"/>
  <c r="E43" i="20"/>
  <c r="C22" i="19"/>
  <c r="D264" i="17"/>
  <c r="D280" i="17"/>
  <c r="D199" i="17"/>
  <c r="D269" i="17"/>
  <c r="D270" i="17" s="1"/>
  <c r="D278" i="17"/>
  <c r="C283" i="18"/>
  <c r="C22" i="18"/>
  <c r="C284" i="18" s="1"/>
  <c r="E21" i="18"/>
  <c r="D33" i="18"/>
  <c r="E32" i="18"/>
  <c r="C180" i="18"/>
  <c r="C145" i="18"/>
  <c r="D157" i="18"/>
  <c r="D211" i="18"/>
  <c r="E210" i="18"/>
  <c r="D274" i="17"/>
  <c r="D283" i="17"/>
  <c r="D286" i="17" s="1"/>
  <c r="D290" i="17"/>
  <c r="E22" i="18"/>
  <c r="E54" i="18"/>
  <c r="D71" i="18"/>
  <c r="D65" i="18"/>
  <c r="E60" i="18"/>
  <c r="D289" i="18"/>
  <c r="E69" i="18"/>
  <c r="D175" i="18"/>
  <c r="E175" i="18" s="1"/>
  <c r="D144" i="18"/>
  <c r="E139" i="18"/>
  <c r="C261" i="18"/>
  <c r="C189" i="18"/>
  <c r="E188" i="18"/>
  <c r="D260" i="18"/>
  <c r="E195" i="18"/>
  <c r="E215" i="18"/>
  <c r="E220" i="18"/>
  <c r="E221" i="18"/>
  <c r="D245" i="18"/>
  <c r="E245" i="18" s="1"/>
  <c r="E233" i="18"/>
  <c r="D239" i="18"/>
  <c r="E239" i="18" s="1"/>
  <c r="E301" i="18"/>
  <c r="E324" i="18"/>
  <c r="C234" i="18"/>
  <c r="E205" i="18"/>
  <c r="C211" i="18"/>
  <c r="E218" i="18"/>
  <c r="C229" i="18"/>
  <c r="C252" i="18"/>
  <c r="E231" i="18"/>
  <c r="E251" i="18"/>
  <c r="E261" i="18"/>
  <c r="D302" i="18"/>
  <c r="D316" i="18"/>
  <c r="E20" i="17"/>
  <c r="F20" i="17"/>
  <c r="E23" i="17"/>
  <c r="F23" i="17" s="1"/>
  <c r="E29" i="17"/>
  <c r="F29" i="17" s="1"/>
  <c r="C32" i="17"/>
  <c r="C37" i="17"/>
  <c r="E44" i="17"/>
  <c r="F44" i="17" s="1"/>
  <c r="C125" i="17"/>
  <c r="E53" i="17"/>
  <c r="F53" i="17" s="1"/>
  <c r="E59" i="17"/>
  <c r="F59" i="17" s="1"/>
  <c r="E67" i="17"/>
  <c r="F67" i="17" s="1"/>
  <c r="E17" i="17"/>
  <c r="F17" i="17" s="1"/>
  <c r="C21" i="17"/>
  <c r="E30" i="17"/>
  <c r="F30" i="17" s="1"/>
  <c r="E31" i="17"/>
  <c r="F31" i="17"/>
  <c r="E36" i="17"/>
  <c r="F36" i="17" s="1"/>
  <c r="E47" i="17"/>
  <c r="F47" i="17" s="1"/>
  <c r="E48" i="17"/>
  <c r="F48" i="17" s="1"/>
  <c r="C60" i="17"/>
  <c r="C68" i="17"/>
  <c r="E66" i="17"/>
  <c r="F66" i="17"/>
  <c r="C103" i="17"/>
  <c r="C105" i="17" s="1"/>
  <c r="E76" i="17"/>
  <c r="F76" i="17"/>
  <c r="D102" i="17"/>
  <c r="D124" i="17"/>
  <c r="E124" i="17" s="1"/>
  <c r="F124" i="17" s="1"/>
  <c r="D137" i="17"/>
  <c r="E145" i="17"/>
  <c r="F145" i="17"/>
  <c r="E158" i="17"/>
  <c r="E171" i="17"/>
  <c r="C278" i="17"/>
  <c r="E189" i="17"/>
  <c r="F189" i="17" s="1"/>
  <c r="C192" i="17"/>
  <c r="C193" i="17"/>
  <c r="C282" i="17" s="1"/>
  <c r="E198" i="17"/>
  <c r="C285" i="17"/>
  <c r="C269" i="17"/>
  <c r="E204" i="17"/>
  <c r="F204" i="17"/>
  <c r="E229" i="17"/>
  <c r="F229" i="17" s="1"/>
  <c r="E237" i="17"/>
  <c r="F237" i="17" s="1"/>
  <c r="C239" i="17"/>
  <c r="C306" i="17"/>
  <c r="D288" i="17"/>
  <c r="D21" i="17"/>
  <c r="E123" i="17"/>
  <c r="F123" i="17" s="1"/>
  <c r="C159" i="17"/>
  <c r="E164" i="17"/>
  <c r="E170" i="17"/>
  <c r="C172" i="17"/>
  <c r="E179" i="17"/>
  <c r="C181" i="17"/>
  <c r="F181" i="17"/>
  <c r="C277" i="17"/>
  <c r="C190" i="17"/>
  <c r="C280" i="17"/>
  <c r="E280" i="17" s="1"/>
  <c r="F280" i="17" s="1"/>
  <c r="E191" i="17"/>
  <c r="F191" i="17" s="1"/>
  <c r="C215" i="17"/>
  <c r="E223" i="17"/>
  <c r="F223" i="17" s="1"/>
  <c r="C227" i="17"/>
  <c r="E230" i="17"/>
  <c r="F230" i="17"/>
  <c r="E238" i="17"/>
  <c r="F238" i="17" s="1"/>
  <c r="C254" i="17"/>
  <c r="C255" i="17"/>
  <c r="C261" i="17"/>
  <c r="C262" i="17"/>
  <c r="C264" i="17"/>
  <c r="E311" i="17"/>
  <c r="D193" i="17"/>
  <c r="D200" i="17"/>
  <c r="D205" i="17"/>
  <c r="D215" i="17"/>
  <c r="F36" i="14"/>
  <c r="F38" i="14"/>
  <c r="F40" i="14" s="1"/>
  <c r="I17" i="14"/>
  <c r="D31" i="14"/>
  <c r="F31" i="14"/>
  <c r="C33" i="14"/>
  <c r="C36" i="14"/>
  <c r="C38" i="14" s="1"/>
  <c r="C40" i="14" s="1"/>
  <c r="E33" i="14"/>
  <c r="E36" i="14" s="1"/>
  <c r="E38" i="14" s="1"/>
  <c r="E40" i="14" s="1"/>
  <c r="G33" i="14"/>
  <c r="H17" i="14"/>
  <c r="E21" i="13"/>
  <c r="D21" i="13"/>
  <c r="C15" i="13"/>
  <c r="E15" i="13"/>
  <c r="C48" i="13"/>
  <c r="C42" i="13" s="1"/>
  <c r="D20" i="12"/>
  <c r="E15" i="12"/>
  <c r="F15" i="12" s="1"/>
  <c r="D41" i="11"/>
  <c r="E23" i="10"/>
  <c r="E24" i="10"/>
  <c r="E36" i="10"/>
  <c r="E47" i="10"/>
  <c r="E60" i="10"/>
  <c r="E71" i="10"/>
  <c r="E72" i="10"/>
  <c r="E84" i="10"/>
  <c r="E96" i="10"/>
  <c r="E107" i="10"/>
  <c r="E108" i="10"/>
  <c r="E112" i="10"/>
  <c r="E113" i="10"/>
  <c r="E115" i="10"/>
  <c r="E116" i="10"/>
  <c r="E118" i="10"/>
  <c r="E119" i="10"/>
  <c r="C121" i="10"/>
  <c r="F121" i="10" s="1"/>
  <c r="C122" i="10"/>
  <c r="F122" i="10" s="1"/>
  <c r="F201" i="9"/>
  <c r="F202" i="9"/>
  <c r="F203" i="9"/>
  <c r="F206" i="9"/>
  <c r="E198" i="9"/>
  <c r="F198" i="9" s="1"/>
  <c r="E199" i="9"/>
  <c r="F199" i="9" s="1"/>
  <c r="C208" i="9"/>
  <c r="D156" i="8"/>
  <c r="D15" i="8"/>
  <c r="C43" i="8"/>
  <c r="E43" i="8"/>
  <c r="C53" i="8"/>
  <c r="E53" i="8"/>
  <c r="D77" i="8"/>
  <c r="D71" i="8"/>
  <c r="C15" i="8"/>
  <c r="E15" i="8"/>
  <c r="C49" i="8"/>
  <c r="E49" i="8"/>
  <c r="E77" i="8"/>
  <c r="E71" i="8" s="1"/>
  <c r="E90" i="7"/>
  <c r="F90" i="7" s="1"/>
  <c r="E84" i="6"/>
  <c r="F84" i="6" s="1"/>
  <c r="D18" i="5"/>
  <c r="E22" i="4"/>
  <c r="F22" i="4" s="1"/>
  <c r="E38" i="4"/>
  <c r="F38" i="4"/>
  <c r="E61" i="4"/>
  <c r="F61" i="4" s="1"/>
  <c r="C53" i="22"/>
  <c r="C45" i="22"/>
  <c r="C39" i="22"/>
  <c r="C35" i="22"/>
  <c r="C29" i="22"/>
  <c r="C110" i="22"/>
  <c r="E111" i="22"/>
  <c r="E54" i="22"/>
  <c r="E46" i="22"/>
  <c r="E40" i="22"/>
  <c r="E36" i="22"/>
  <c r="E30" i="22"/>
  <c r="D53" i="22"/>
  <c r="D45" i="22"/>
  <c r="D39" i="22"/>
  <c r="D35" i="22"/>
  <c r="D29" i="22"/>
  <c r="E53" i="22"/>
  <c r="E45" i="22"/>
  <c r="E39" i="22"/>
  <c r="E35" i="22"/>
  <c r="E29" i="22"/>
  <c r="E110" i="22"/>
  <c r="C111" i="22"/>
  <c r="C54" i="22"/>
  <c r="C46" i="22"/>
  <c r="C40" i="22"/>
  <c r="C36" i="22"/>
  <c r="C30" i="22"/>
  <c r="F39" i="20"/>
  <c r="F43" i="20"/>
  <c r="E316" i="18"/>
  <c r="D320" i="18"/>
  <c r="E320" i="18"/>
  <c r="E260" i="18"/>
  <c r="D66" i="18"/>
  <c r="D295" i="18"/>
  <c r="D168" i="18"/>
  <c r="D180" i="18"/>
  <c r="E144" i="18"/>
  <c r="D145" i="18"/>
  <c r="E71" i="18"/>
  <c r="D294" i="18"/>
  <c r="D255" i="17"/>
  <c r="E255" i="17" s="1"/>
  <c r="E215" i="17"/>
  <c r="F215" i="17" s="1"/>
  <c r="C288" i="17"/>
  <c r="F172" i="17"/>
  <c r="C173" i="17"/>
  <c r="C175" i="17" s="1"/>
  <c r="E172" i="17"/>
  <c r="D194" i="17"/>
  <c r="D196" i="17" s="1"/>
  <c r="D197" i="17" s="1"/>
  <c r="E193" i="17"/>
  <c r="F193" i="17" s="1"/>
  <c r="F255" i="17"/>
  <c r="C281" i="17"/>
  <c r="C279" i="17"/>
  <c r="D49" i="17"/>
  <c r="D126" i="17"/>
  <c r="E21" i="17"/>
  <c r="F21" i="17" s="1"/>
  <c r="E288" i="17"/>
  <c r="F288" i="17" s="1"/>
  <c r="E278" i="17"/>
  <c r="F278" i="17" s="1"/>
  <c r="E264" i="17"/>
  <c r="F264" i="17" s="1"/>
  <c r="C194" i="17"/>
  <c r="C196" i="17" s="1"/>
  <c r="D138" i="17"/>
  <c r="C61" i="17"/>
  <c r="C174" i="17" s="1"/>
  <c r="E60" i="17"/>
  <c r="F60" i="17" s="1"/>
  <c r="E32" i="17"/>
  <c r="F32" i="17"/>
  <c r="C126" i="17"/>
  <c r="C49" i="17"/>
  <c r="C50" i="17" s="1"/>
  <c r="E192" i="17"/>
  <c r="F192" i="17"/>
  <c r="D125" i="17"/>
  <c r="E125" i="17" s="1"/>
  <c r="F125" i="17" s="1"/>
  <c r="C266" i="17"/>
  <c r="H33" i="14"/>
  <c r="H36" i="14"/>
  <c r="H38" i="14"/>
  <c r="H40" i="14" s="1"/>
  <c r="E24" i="13"/>
  <c r="E20" i="13" s="1"/>
  <c r="E17" i="13"/>
  <c r="E28" i="13" s="1"/>
  <c r="E70" i="13" s="1"/>
  <c r="E72" i="13" s="1"/>
  <c r="E69" i="13" s="1"/>
  <c r="C24" i="13"/>
  <c r="C17" i="13"/>
  <c r="C28" i="13" s="1"/>
  <c r="D34" i="12"/>
  <c r="D42" i="12" s="1"/>
  <c r="D49" i="12" s="1"/>
  <c r="E208" i="9"/>
  <c r="F208" i="9" s="1"/>
  <c r="C24" i="8"/>
  <c r="C17" i="8"/>
  <c r="D24" i="8"/>
  <c r="D17" i="8"/>
  <c r="D28" i="8" s="1"/>
  <c r="D21" i="5"/>
  <c r="D35" i="5" s="1"/>
  <c r="D43" i="5" s="1"/>
  <c r="E55" i="22"/>
  <c r="E47" i="22"/>
  <c r="E37" i="22"/>
  <c r="C55" i="22"/>
  <c r="C47" i="22"/>
  <c r="C37" i="22"/>
  <c r="C112" i="22"/>
  <c r="C113" i="22"/>
  <c r="C56" i="22"/>
  <c r="C48" i="22"/>
  <c r="C38" i="22"/>
  <c r="D55" i="22"/>
  <c r="D47" i="22"/>
  <c r="D37" i="22"/>
  <c r="D140" i="17"/>
  <c r="C195" i="17"/>
  <c r="D127" i="17"/>
  <c r="D195" i="17"/>
  <c r="C265" i="17"/>
  <c r="D50" i="17"/>
  <c r="E49" i="17"/>
  <c r="F49" i="17" s="1"/>
  <c r="C62" i="17"/>
  <c r="C63" i="17" s="1"/>
  <c r="C176" i="17"/>
  <c r="F173" i="17"/>
  <c r="C112" i="8"/>
  <c r="C111" i="8" s="1"/>
  <c r="C28" i="8"/>
  <c r="D141" i="17"/>
  <c r="C99" i="8"/>
  <c r="C101" i="8" s="1"/>
  <c r="C98" i="8" s="1"/>
  <c r="D322" i="17"/>
  <c r="C263" i="17" l="1"/>
  <c r="C272" i="17"/>
  <c r="E117" i="10"/>
  <c r="F117" i="10"/>
  <c r="C199" i="17"/>
  <c r="C200" i="17"/>
  <c r="C290" i="17"/>
  <c r="C274" i="17"/>
  <c r="F198" i="17"/>
  <c r="D148" i="17"/>
  <c r="I33" i="14"/>
  <c r="I36" i="14" s="1"/>
  <c r="I38" i="14" s="1"/>
  <c r="I40" i="14" s="1"/>
  <c r="G36" i="14"/>
  <c r="G38" i="14" s="1"/>
  <c r="G40" i="14" s="1"/>
  <c r="F128" i="9"/>
  <c r="E128" i="9"/>
  <c r="D65" i="11"/>
  <c r="D75" i="11" s="1"/>
  <c r="E61" i="11"/>
  <c r="D181" i="17"/>
  <c r="E181" i="17" s="1"/>
  <c r="E180" i="17"/>
  <c r="E17" i="8"/>
  <c r="E24" i="8"/>
  <c r="E20" i="8" s="1"/>
  <c r="F83" i="10"/>
  <c r="E83" i="10"/>
  <c r="E52" i="17"/>
  <c r="F52" i="17"/>
  <c r="C138" i="17"/>
  <c r="C207" i="17"/>
  <c r="E137" i="17"/>
  <c r="F137" i="17" s="1"/>
  <c r="E33" i="18"/>
  <c r="D234" i="18"/>
  <c r="E234" i="18" s="1"/>
  <c r="D55" i="18"/>
  <c r="D283" i="18"/>
  <c r="E283" i="18" s="1"/>
  <c r="C240" i="18"/>
  <c r="C253" i="18" s="1"/>
  <c r="E216" i="18"/>
  <c r="C222" i="18"/>
  <c r="E68" i="17"/>
  <c r="F68" i="17" s="1"/>
  <c r="C161" i="17"/>
  <c r="F159" i="17"/>
  <c r="C160" i="17"/>
  <c r="D103" i="17"/>
  <c r="E102" i="17"/>
  <c r="F102" i="17" s="1"/>
  <c r="D300" i="17"/>
  <c r="E274" i="17"/>
  <c r="E43" i="6"/>
  <c r="F43" i="6" s="1"/>
  <c r="D52" i="6"/>
  <c r="E59" i="13"/>
  <c r="E61" i="13" s="1"/>
  <c r="E48" i="13"/>
  <c r="E42" i="13" s="1"/>
  <c r="D160" i="17"/>
  <c r="D161" i="17"/>
  <c r="E159" i="17"/>
  <c r="E151" i="18"/>
  <c r="C156" i="18"/>
  <c r="E112" i="22"/>
  <c r="E108" i="22"/>
  <c r="C207" i="9"/>
  <c r="D37" i="17"/>
  <c r="E37" i="17" s="1"/>
  <c r="F37" i="17" s="1"/>
  <c r="E35" i="17"/>
  <c r="F35" i="17" s="1"/>
  <c r="E61" i="17"/>
  <c r="F61" i="17" s="1"/>
  <c r="D139" i="17"/>
  <c r="E109" i="17"/>
  <c r="D111" i="17"/>
  <c r="E144" i="17"/>
  <c r="F144" i="17"/>
  <c r="C146" i="17"/>
  <c r="F155" i="17"/>
  <c r="E155" i="17"/>
  <c r="D173" i="17"/>
  <c r="D207" i="17"/>
  <c r="E262" i="17"/>
  <c r="F262" i="17" s="1"/>
  <c r="D306" i="17"/>
  <c r="E250" i="17"/>
  <c r="F250" i="17" s="1"/>
  <c r="E183" i="7"/>
  <c r="F183" i="7" s="1"/>
  <c r="C188" i="7"/>
  <c r="D53" i="8"/>
  <c r="D57" i="8"/>
  <c r="D62" i="8" s="1"/>
  <c r="D49" i="8"/>
  <c r="D43" i="8"/>
  <c r="E22" i="11"/>
  <c r="F22" i="11" s="1"/>
  <c r="D43" i="11"/>
  <c r="D89" i="17"/>
  <c r="E88" i="17"/>
  <c r="C330" i="18"/>
  <c r="E326" i="18"/>
  <c r="F21" i="21"/>
  <c r="D169" i="18"/>
  <c r="D181" i="18"/>
  <c r="E145" i="18"/>
  <c r="E65" i="4"/>
  <c r="F65" i="4" s="1"/>
  <c r="D95" i="6"/>
  <c r="E88" i="6"/>
  <c r="F88" i="6" s="1"/>
  <c r="E21" i="8"/>
  <c r="D157" i="8"/>
  <c r="D155" i="8"/>
  <c r="D153" i="8"/>
  <c r="D154" i="8"/>
  <c r="D152" i="8"/>
  <c r="D227" i="17"/>
  <c r="E227" i="17" s="1"/>
  <c r="F227" i="17" s="1"/>
  <c r="E226" i="17"/>
  <c r="F226" i="17" s="1"/>
  <c r="D282" i="17"/>
  <c r="E70" i="18"/>
  <c r="D76" i="18"/>
  <c r="F46" i="20"/>
  <c r="E302" i="18"/>
  <c r="F166" i="6"/>
  <c r="C95" i="7"/>
  <c r="D27" i="8"/>
  <c r="D21" i="8" s="1"/>
  <c r="F61" i="11"/>
  <c r="E80" i="13"/>
  <c r="E77" i="13" s="1"/>
  <c r="E100" i="15"/>
  <c r="F100" i="15" s="1"/>
  <c r="F21" i="16"/>
  <c r="F88" i="17"/>
  <c r="E101" i="17"/>
  <c r="F101" i="17" s="1"/>
  <c r="E161" i="18"/>
  <c r="D46" i="20"/>
  <c r="D77" i="22"/>
  <c r="D102" i="22"/>
  <c r="D303" i="18"/>
  <c r="F16" i="5"/>
  <c r="E137" i="6"/>
  <c r="F137" i="6" s="1"/>
  <c r="D95" i="7"/>
  <c r="D15" i="13"/>
  <c r="D163" i="18"/>
  <c r="E232" i="18"/>
  <c r="C37" i="19"/>
  <c r="C38" i="19" s="1"/>
  <c r="C127" i="19" s="1"/>
  <c r="C129" i="19" s="1"/>
  <c r="C133" i="19" s="1"/>
  <c r="E101" i="22"/>
  <c r="E103" i="22" s="1"/>
  <c r="F25" i="6"/>
  <c r="F35" i="7"/>
  <c r="D86" i="8"/>
  <c r="E200" i="9"/>
  <c r="F200" i="9" s="1"/>
  <c r="E204" i="9"/>
  <c r="F204" i="9" s="1"/>
  <c r="E29" i="11"/>
  <c r="F56" i="11"/>
  <c r="F47" i="12"/>
  <c r="E23" i="15"/>
  <c r="F23" i="15" s="1"/>
  <c r="E50" i="15"/>
  <c r="F50" i="15" s="1"/>
  <c r="D146" i="17"/>
  <c r="E297" i="17"/>
  <c r="F297" i="17" s="1"/>
  <c r="E307" i="17"/>
  <c r="F307" i="17" s="1"/>
  <c r="E162" i="18"/>
  <c r="E265" i="18"/>
  <c r="E278" i="18"/>
  <c r="E290" i="18"/>
  <c r="F16" i="20"/>
  <c r="F45" i="20"/>
  <c r="E180" i="18"/>
  <c r="C75" i="4"/>
  <c r="E25" i="6"/>
  <c r="E149" i="8"/>
  <c r="E138" i="8" s="1"/>
  <c r="F49" i="9"/>
  <c r="F101" i="9"/>
  <c r="E166" i="9"/>
  <c r="E180" i="9"/>
  <c r="E193" i="9"/>
  <c r="F73" i="11"/>
  <c r="E70" i="15"/>
  <c r="F70" i="15" s="1"/>
  <c r="E85" i="17"/>
  <c r="F85" i="17" s="1"/>
  <c r="E129" i="17"/>
  <c r="E167" i="18"/>
  <c r="E244" i="18"/>
  <c r="E282" i="18"/>
  <c r="E16" i="20"/>
  <c r="E93" i="22"/>
  <c r="E98" i="22"/>
  <c r="E113" i="22"/>
  <c r="C254" i="18"/>
  <c r="F59" i="7"/>
  <c r="E121" i="7"/>
  <c r="F121" i="7" s="1"/>
  <c r="E49" i="9"/>
  <c r="E63" i="9"/>
  <c r="E115" i="9"/>
  <c r="E38" i="11"/>
  <c r="F40" i="12"/>
  <c r="F75" i="15"/>
  <c r="E294" i="17"/>
  <c r="F294" i="17" s="1"/>
  <c r="C289" i="18"/>
  <c r="E289" i="18" s="1"/>
  <c r="C65" i="18"/>
  <c r="C217" i="18"/>
  <c r="C241" i="18" s="1"/>
  <c r="E291" i="18"/>
  <c r="E40" i="20"/>
  <c r="E126" i="17"/>
  <c r="H31" i="14"/>
  <c r="E200" i="17"/>
  <c r="E306" i="17"/>
  <c r="F111" i="6"/>
  <c r="E18" i="7"/>
  <c r="F18" i="7" s="1"/>
  <c r="D109" i="8"/>
  <c r="D106" i="8" s="1"/>
  <c r="E23" i="9"/>
  <c r="F23" i="9" s="1"/>
  <c r="D121" i="10"/>
  <c r="E121" i="10" s="1"/>
  <c r="F32" i="12"/>
  <c r="C27" i="13"/>
  <c r="E65" i="15"/>
  <c r="F65" i="15" s="1"/>
  <c r="E92" i="15"/>
  <c r="F92" i="15" s="1"/>
  <c r="F295" i="17"/>
  <c r="C101" i="22"/>
  <c r="C103" i="22" s="1"/>
  <c r="D266" i="17"/>
  <c r="D265" i="17" s="1"/>
  <c r="E265" i="17" s="1"/>
  <c r="F73" i="4"/>
  <c r="E79" i="8"/>
  <c r="E32" i="12"/>
  <c r="E130" i="17"/>
  <c r="F130" i="17" s="1"/>
  <c r="E73" i="18"/>
  <c r="C163" i="18"/>
  <c r="E165" i="18"/>
  <c r="D50" i="5"/>
  <c r="E196" i="17"/>
  <c r="F196" i="17" s="1"/>
  <c r="F265" i="17"/>
  <c r="C70" i="13"/>
  <c r="C72" i="13" s="1"/>
  <c r="C69" i="13" s="1"/>
  <c r="D99" i="8"/>
  <c r="D101" i="8" s="1"/>
  <c r="D98" i="8" s="1"/>
  <c r="F50" i="17"/>
  <c r="E50" i="17"/>
  <c r="C70" i="17"/>
  <c r="E36" i="20"/>
  <c r="F36" i="20" s="1"/>
  <c r="F34" i="20"/>
  <c r="D110" i="22"/>
  <c r="D108" i="22"/>
  <c r="F176" i="17"/>
  <c r="F285" i="17"/>
  <c r="E285" i="17"/>
  <c r="F46" i="6"/>
  <c r="F91" i="6"/>
  <c r="E95" i="7"/>
  <c r="F130" i="7"/>
  <c r="E166" i="8"/>
  <c r="E195" i="17"/>
  <c r="F195" i="17" s="1"/>
  <c r="D43" i="4"/>
  <c r="E43" i="4" s="1"/>
  <c r="E91" i="6"/>
  <c r="C88" i="8"/>
  <c r="C90" i="8" s="1"/>
  <c r="C86" i="8" s="1"/>
  <c r="C77" i="8"/>
  <c r="C71" i="8" s="1"/>
  <c r="C140" i="8"/>
  <c r="C138" i="8"/>
  <c r="C136" i="8"/>
  <c r="C139" i="8"/>
  <c r="C137" i="8"/>
  <c r="C135" i="8"/>
  <c r="E219" i="18"/>
  <c r="D243" i="18"/>
  <c r="D222" i="18"/>
  <c r="C104" i="17"/>
  <c r="D112" i="22"/>
  <c r="E81" i="6"/>
  <c r="F81" i="6" s="1"/>
  <c r="D188" i="7"/>
  <c r="E188" i="7" s="1"/>
  <c r="F188" i="7" s="1"/>
  <c r="D139" i="8"/>
  <c r="D137" i="8"/>
  <c r="D135" i="8"/>
  <c r="D140" i="8"/>
  <c r="D138" i="8"/>
  <c r="C259" i="18"/>
  <c r="C263" i="18" s="1"/>
  <c r="C44" i="18"/>
  <c r="F95" i="7"/>
  <c r="E22" i="13"/>
  <c r="C106" i="17"/>
  <c r="E38" i="22"/>
  <c r="D272" i="17"/>
  <c r="E272" i="17" s="1"/>
  <c r="F272" i="17" s="1"/>
  <c r="E269" i="17"/>
  <c r="F269" i="17" s="1"/>
  <c r="D75" i="4"/>
  <c r="E75" i="4" s="1"/>
  <c r="F75" i="4" s="1"/>
  <c r="E56" i="4"/>
  <c r="F56" i="4" s="1"/>
  <c r="E44" i="6"/>
  <c r="F68" i="6"/>
  <c r="C95" i="6"/>
  <c r="E89" i="6"/>
  <c r="F89" i="6" s="1"/>
  <c r="F124" i="6"/>
  <c r="F30" i="7"/>
  <c r="F41" i="7"/>
  <c r="E136" i="8"/>
  <c r="E139" i="8"/>
  <c r="E137" i="8"/>
  <c r="E135" i="8"/>
  <c r="E140" i="8"/>
  <c r="D174" i="17"/>
  <c r="E174" i="17" s="1"/>
  <c r="F174" i="17" s="1"/>
  <c r="D62" i="17"/>
  <c r="D190" i="17"/>
  <c r="E190" i="17" s="1"/>
  <c r="F190" i="17" s="1"/>
  <c r="D206" i="17"/>
  <c r="E188" i="17"/>
  <c r="F188" i="17" s="1"/>
  <c r="D261" i="17"/>
  <c r="D214" i="17"/>
  <c r="D277" i="17"/>
  <c r="C283" i="17"/>
  <c r="E203" i="17"/>
  <c r="F203" i="17"/>
  <c r="C205" i="17"/>
  <c r="C267" i="17"/>
  <c r="C206" i="17"/>
  <c r="C214" i="17"/>
  <c r="E266" i="17"/>
  <c r="F266" i="17" s="1"/>
  <c r="E194" i="17"/>
  <c r="F194" i="17" s="1"/>
  <c r="E48" i="22"/>
  <c r="C235" i="18"/>
  <c r="E211" i="18"/>
  <c r="C181" i="18"/>
  <c r="E181" i="18" s="1"/>
  <c r="C52" i="6"/>
  <c r="F59" i="10"/>
  <c r="E59" i="10"/>
  <c r="F17" i="12"/>
  <c r="C20" i="12"/>
  <c r="E17" i="12"/>
  <c r="F43" i="4"/>
  <c r="D112" i="8"/>
  <c r="D111" i="8" s="1"/>
  <c r="F126" i="17"/>
  <c r="C127" i="17"/>
  <c r="E56" i="22"/>
  <c r="E52" i="6"/>
  <c r="D109" i="22"/>
  <c r="E42" i="6"/>
  <c r="F42" i="6" s="1"/>
  <c r="E50" i="6"/>
  <c r="E87" i="6"/>
  <c r="C27" i="8"/>
  <c r="C154" i="8"/>
  <c r="C152" i="8"/>
  <c r="C157" i="8"/>
  <c r="C155" i="8"/>
  <c r="C153" i="8"/>
  <c r="F48" i="6"/>
  <c r="F85" i="6"/>
  <c r="E179" i="6"/>
  <c r="F179" i="6" s="1"/>
  <c r="F24" i="9"/>
  <c r="E100" i="17"/>
  <c r="F100" i="17" s="1"/>
  <c r="D43" i="18"/>
  <c r="E37" i="18"/>
  <c r="E240" i="18"/>
  <c r="F44" i="20"/>
  <c r="C18" i="5"/>
  <c r="E102" i="9"/>
  <c r="F102" i="9" s="1"/>
  <c r="C64" i="19"/>
  <c r="C65" i="19" s="1"/>
  <c r="C114" i="19" s="1"/>
  <c r="C116" i="19" s="1"/>
  <c r="C119" i="19" s="1"/>
  <c r="C123" i="19" s="1"/>
  <c r="C49" i="19"/>
  <c r="E122" i="10"/>
  <c r="E50" i="9"/>
  <c r="F50" i="9" s="1"/>
  <c r="E127" i="9"/>
  <c r="F127" i="9" s="1"/>
  <c r="F141" i="9"/>
  <c r="E154" i="9"/>
  <c r="D42" i="13"/>
  <c r="E77" i="17"/>
  <c r="E164" i="18"/>
  <c r="D253" i="18"/>
  <c r="E253" i="18" s="1"/>
  <c r="E57" i="13"/>
  <c r="E95" i="17"/>
  <c r="F95" i="17" s="1"/>
  <c r="C77" i="18"/>
  <c r="E330" i="18"/>
  <c r="F62" i="9"/>
  <c r="E75" i="9"/>
  <c r="F114" i="9"/>
  <c r="E179" i="9"/>
  <c r="F29" i="11"/>
  <c r="F109" i="17"/>
  <c r="F120" i="17"/>
  <c r="D217" i="18"/>
  <c r="E20" i="20"/>
  <c r="F20" i="20" s="1"/>
  <c r="D23" i="22"/>
  <c r="D33" i="22"/>
  <c r="D34" i="22"/>
  <c r="E36" i="9"/>
  <c r="C41" i="11"/>
  <c r="F38" i="11"/>
  <c r="F110" i="17"/>
  <c r="F129" i="17"/>
  <c r="D103" i="22"/>
  <c r="C111" i="17"/>
  <c r="E111" i="17" s="1"/>
  <c r="E25" i="20"/>
  <c r="F25" i="20" s="1"/>
  <c r="D189" i="18"/>
  <c r="E189" i="18" s="1"/>
  <c r="F63" i="9"/>
  <c r="E88" i="9"/>
  <c r="F115" i="9"/>
  <c r="F140" i="9"/>
  <c r="C65" i="11"/>
  <c r="D59" i="13"/>
  <c r="D61" i="13" s="1"/>
  <c r="D57" i="13" s="1"/>
  <c r="D242" i="18"/>
  <c r="E242" i="18" s="1"/>
  <c r="C89" i="17"/>
  <c r="D90" i="17" l="1"/>
  <c r="D91" i="17"/>
  <c r="D92" i="17" s="1"/>
  <c r="C162" i="17"/>
  <c r="E290" i="17"/>
  <c r="F290" i="17" s="1"/>
  <c r="C158" i="8"/>
  <c r="C294" i="18"/>
  <c r="E294" i="18" s="1"/>
  <c r="C66" i="18"/>
  <c r="E65" i="18"/>
  <c r="E163" i="18"/>
  <c r="E76" i="18"/>
  <c r="D77" i="18"/>
  <c r="E146" i="17"/>
  <c r="F146" i="17" s="1"/>
  <c r="C157" i="18"/>
  <c r="E156" i="18"/>
  <c r="C168" i="18"/>
  <c r="E168" i="18" s="1"/>
  <c r="F200" i="17"/>
  <c r="D20" i="8"/>
  <c r="C20" i="13"/>
  <c r="C21" i="13"/>
  <c r="D281" i="17"/>
  <c r="E281" i="17" s="1"/>
  <c r="F281" i="17" s="1"/>
  <c r="E282" i="17"/>
  <c r="F282" i="17" s="1"/>
  <c r="C246" i="18"/>
  <c r="C223" i="18"/>
  <c r="C247" i="18" s="1"/>
  <c r="E28" i="8"/>
  <c r="E112" i="8"/>
  <c r="E111" i="8" s="1"/>
  <c r="E207" i="9"/>
  <c r="F207" i="9"/>
  <c r="E161" i="17"/>
  <c r="F161" i="17" s="1"/>
  <c r="D162" i="17"/>
  <c r="C208" i="17"/>
  <c r="D24" i="13"/>
  <c r="D20" i="13" s="1"/>
  <c r="D17" i="13"/>
  <c r="D28" i="13" s="1"/>
  <c r="E199" i="17"/>
  <c r="F199" i="17"/>
  <c r="D208" i="17"/>
  <c r="E207" i="17"/>
  <c r="F207" i="17" s="1"/>
  <c r="E103" i="17"/>
  <c r="F103" i="17" s="1"/>
  <c r="D105" i="17"/>
  <c r="D104" i="17"/>
  <c r="E104" i="17" s="1"/>
  <c r="F104" i="17" s="1"/>
  <c r="C139" i="17"/>
  <c r="C140" i="17"/>
  <c r="E138" i="17"/>
  <c r="F138" i="17" s="1"/>
  <c r="E235" i="18"/>
  <c r="D22" i="8"/>
  <c r="F40" i="20"/>
  <c r="E41" i="20"/>
  <c r="F41" i="20" s="1"/>
  <c r="E303" i="18"/>
  <c r="D306" i="18"/>
  <c r="D158" i="8"/>
  <c r="D175" i="17"/>
  <c r="E173" i="17"/>
  <c r="E160" i="17"/>
  <c r="F160" i="17" s="1"/>
  <c r="C22" i="13"/>
  <c r="E139" i="17"/>
  <c r="F139" i="17" s="1"/>
  <c r="E55" i="18"/>
  <c r="D284" i="18"/>
  <c r="E284" i="18" s="1"/>
  <c r="D235" i="18"/>
  <c r="F274" i="17"/>
  <c r="C300" i="17"/>
  <c r="D54" i="22"/>
  <c r="D46" i="22"/>
  <c r="D111" i="22"/>
  <c r="D30" i="22"/>
  <c r="D36" i="22"/>
  <c r="D40" i="22"/>
  <c r="C21" i="8"/>
  <c r="C22" i="8"/>
  <c r="C20" i="8"/>
  <c r="E127" i="17"/>
  <c r="F127" i="17" s="1"/>
  <c r="C197" i="17"/>
  <c r="E62" i="17"/>
  <c r="F62" i="17" s="1"/>
  <c r="D63" i="17"/>
  <c r="C89" i="18"/>
  <c r="C99" i="18"/>
  <c r="C87" i="18"/>
  <c r="C95" i="18"/>
  <c r="C83" i="18"/>
  <c r="C84" i="18"/>
  <c r="C101" i="18"/>
  <c r="C100" i="18"/>
  <c r="C97" i="18"/>
  <c r="C98" i="18"/>
  <c r="C86" i="18"/>
  <c r="C85" i="18"/>
  <c r="C258" i="18"/>
  <c r="C88" i="18"/>
  <c r="C96" i="18"/>
  <c r="C141" i="8"/>
  <c r="E157" i="8"/>
  <c r="E155" i="8"/>
  <c r="E153" i="8"/>
  <c r="E156" i="8"/>
  <c r="E154" i="8"/>
  <c r="E152" i="8"/>
  <c r="C75" i="11"/>
  <c r="E65" i="11"/>
  <c r="F65" i="11" s="1"/>
  <c r="E217" i="18"/>
  <c r="D241" i="18"/>
  <c r="E241" i="18" s="1"/>
  <c r="C286" i="17"/>
  <c r="C287" i="17"/>
  <c r="C284" i="17"/>
  <c r="E283" i="17"/>
  <c r="F283" i="17" s="1"/>
  <c r="D44" i="18"/>
  <c r="E43" i="18"/>
  <c r="D259" i="18"/>
  <c r="F52" i="6"/>
  <c r="D284" i="17"/>
  <c r="E277" i="17"/>
  <c r="F277" i="17" s="1"/>
  <c r="D279" i="17"/>
  <c r="E279" i="17" s="1"/>
  <c r="F279" i="17" s="1"/>
  <c r="D287" i="17"/>
  <c r="C112" i="18"/>
  <c r="C115" i="18"/>
  <c r="C110" i="18"/>
  <c r="C111" i="18"/>
  <c r="C124" i="18"/>
  <c r="C127" i="18"/>
  <c r="C113" i="18"/>
  <c r="C125" i="18"/>
  <c r="C109" i="18"/>
  <c r="C123" i="18"/>
  <c r="C126" i="18"/>
  <c r="C121" i="18"/>
  <c r="C122" i="18"/>
  <c r="C114" i="18"/>
  <c r="E41" i="11"/>
  <c r="F41" i="11" s="1"/>
  <c r="C304" i="17"/>
  <c r="C216" i="17"/>
  <c r="E214" i="17"/>
  <c r="F214" i="17" s="1"/>
  <c r="D254" i="17"/>
  <c r="D216" i="17"/>
  <c r="E141" i="8"/>
  <c r="D268" i="17"/>
  <c r="D263" i="17"/>
  <c r="E263" i="17" s="1"/>
  <c r="F263" i="17" s="1"/>
  <c r="D271" i="17"/>
  <c r="E261" i="17"/>
  <c r="F261" i="17" s="1"/>
  <c r="E95" i="6"/>
  <c r="F95" i="6"/>
  <c r="D141" i="8"/>
  <c r="E89" i="17"/>
  <c r="F89" i="17"/>
  <c r="C90" i="17"/>
  <c r="C91" i="17"/>
  <c r="F111" i="17"/>
  <c r="C34" i="12"/>
  <c r="E20" i="12"/>
  <c r="F20" i="12" s="1"/>
  <c r="E267" i="17"/>
  <c r="F267" i="17" s="1"/>
  <c r="C271" i="17"/>
  <c r="C268" i="17"/>
  <c r="C270" i="17"/>
  <c r="D246" i="18"/>
  <c r="E246" i="18" s="1"/>
  <c r="D223" i="18"/>
  <c r="E222" i="18"/>
  <c r="C43" i="11"/>
  <c r="C21" i="5"/>
  <c r="E18" i="5"/>
  <c r="F18" i="5"/>
  <c r="E205" i="17"/>
  <c r="F205" i="17" s="1"/>
  <c r="E206" i="17"/>
  <c r="F206" i="17" s="1"/>
  <c r="E243" i="18"/>
  <c r="D252" i="18"/>
  <c r="D70" i="13" l="1"/>
  <c r="D72" i="13" s="1"/>
  <c r="D69" i="13" s="1"/>
  <c r="D22" i="13"/>
  <c r="E111" i="18"/>
  <c r="D310" i="18"/>
  <c r="E310" i="18" s="1"/>
  <c r="E306" i="18"/>
  <c r="C141" i="17"/>
  <c r="E140" i="17"/>
  <c r="F140" i="17" s="1"/>
  <c r="D113" i="18"/>
  <c r="D110" i="18"/>
  <c r="D116" i="18" s="1"/>
  <c r="D115" i="18"/>
  <c r="E115" i="18" s="1"/>
  <c r="D124" i="18"/>
  <c r="E124" i="18" s="1"/>
  <c r="D127" i="18"/>
  <c r="D112" i="18"/>
  <c r="E112" i="18" s="1"/>
  <c r="D111" i="18"/>
  <c r="D109" i="18"/>
  <c r="D125" i="18"/>
  <c r="E125" i="18" s="1"/>
  <c r="D121" i="18"/>
  <c r="D123" i="18"/>
  <c r="E123" i="18" s="1"/>
  <c r="D126" i="18"/>
  <c r="E126" i="18" s="1"/>
  <c r="D122" i="18"/>
  <c r="D114" i="18"/>
  <c r="E114" i="18" s="1"/>
  <c r="C209" i="17"/>
  <c r="C210" i="17"/>
  <c r="F162" i="17"/>
  <c r="C323" i="17"/>
  <c r="F323" i="17" s="1"/>
  <c r="C183" i="17"/>
  <c r="F183" i="17" s="1"/>
  <c r="D106" i="17"/>
  <c r="E106" i="17" s="1"/>
  <c r="F106" i="17" s="1"/>
  <c r="E105" i="17"/>
  <c r="F105" i="17" s="1"/>
  <c r="E268" i="17"/>
  <c r="E113" i="18"/>
  <c r="E127" i="18"/>
  <c r="D176" i="17"/>
  <c r="E176" i="17" s="1"/>
  <c r="E175" i="17"/>
  <c r="F175" i="17" s="1"/>
  <c r="E208" i="17"/>
  <c r="F208" i="17" s="1"/>
  <c r="D210" i="17"/>
  <c r="D209" i="17"/>
  <c r="E209" i="17" s="1"/>
  <c r="E162" i="17"/>
  <c r="E300" i="17"/>
  <c r="F300" i="17" s="1"/>
  <c r="E66" i="18"/>
  <c r="C295" i="18"/>
  <c r="E295" i="18" s="1"/>
  <c r="E22" i="8"/>
  <c r="E99" i="8"/>
  <c r="E101" i="8" s="1"/>
  <c r="E98" i="8" s="1"/>
  <c r="E77" i="18"/>
  <c r="E216" i="17"/>
  <c r="F216" i="17" s="1"/>
  <c r="C169" i="18"/>
  <c r="E169" i="18" s="1"/>
  <c r="E157" i="18"/>
  <c r="D254" i="18"/>
  <c r="E254" i="18" s="1"/>
  <c r="E252" i="18"/>
  <c r="F43" i="11"/>
  <c r="E43" i="11"/>
  <c r="F268" i="17"/>
  <c r="E90" i="17"/>
  <c r="F90" i="17" s="1"/>
  <c r="E271" i="17"/>
  <c r="F271" i="17" s="1"/>
  <c r="D273" i="17"/>
  <c r="D304" i="17"/>
  <c r="E122" i="18"/>
  <c r="C128" i="18"/>
  <c r="E284" i="17"/>
  <c r="F284" i="17" s="1"/>
  <c r="E21" i="5"/>
  <c r="F21" i="5"/>
  <c r="C35" i="5"/>
  <c r="E121" i="18"/>
  <c r="E75" i="11"/>
  <c r="F75" i="11" s="1"/>
  <c r="E63" i="17"/>
  <c r="F63" i="17" s="1"/>
  <c r="D70" i="17"/>
  <c r="E70" i="17" s="1"/>
  <c r="F70" i="17" s="1"/>
  <c r="E91" i="17"/>
  <c r="F91" i="17" s="1"/>
  <c r="C92" i="17"/>
  <c r="C273" i="17"/>
  <c r="C116" i="18"/>
  <c r="E116" i="18" s="1"/>
  <c r="E110" i="18"/>
  <c r="D117" i="18"/>
  <c r="C102" i="18"/>
  <c r="C103" i="18" s="1"/>
  <c r="E223" i="18"/>
  <c r="D247" i="18"/>
  <c r="E247" i="18" s="1"/>
  <c r="F287" i="17"/>
  <c r="C291" i="17"/>
  <c r="C289" i="17"/>
  <c r="E158" i="8"/>
  <c r="C90" i="18"/>
  <c r="C91" i="18" s="1"/>
  <c r="E259" i="18"/>
  <c r="D263" i="18"/>
  <c r="E263" i="18" s="1"/>
  <c r="E286" i="17"/>
  <c r="F286" i="17"/>
  <c r="C264" i="18"/>
  <c r="C266" i="18" s="1"/>
  <c r="C267" i="18"/>
  <c r="E197" i="17"/>
  <c r="F197" i="17" s="1"/>
  <c r="D56" i="22"/>
  <c r="D48" i="22"/>
  <c r="D38" i="22"/>
  <c r="D113" i="22"/>
  <c r="E287" i="17"/>
  <c r="D291" i="17"/>
  <c r="D289" i="17"/>
  <c r="E289" i="17" s="1"/>
  <c r="C117" i="18"/>
  <c r="E109" i="18"/>
  <c r="C42" i="12"/>
  <c r="E34" i="12"/>
  <c r="F34" i="12"/>
  <c r="E254" i="17"/>
  <c r="F254" i="17" s="1"/>
  <c r="D99" i="18"/>
  <c r="E99" i="18" s="1"/>
  <c r="D84" i="18"/>
  <c r="E44" i="18"/>
  <c r="D96" i="18"/>
  <c r="D95" i="18"/>
  <c r="D88" i="18"/>
  <c r="E88" i="18" s="1"/>
  <c r="D87" i="18"/>
  <c r="E87" i="18" s="1"/>
  <c r="D85" i="18"/>
  <c r="E85" i="18" s="1"/>
  <c r="D258" i="18"/>
  <c r="D101" i="18"/>
  <c r="E101" i="18" s="1"/>
  <c r="D86" i="18"/>
  <c r="E86" i="18" s="1"/>
  <c r="D83" i="18"/>
  <c r="D97" i="18"/>
  <c r="E97" i="18" s="1"/>
  <c r="D98" i="18"/>
  <c r="E98" i="18" s="1"/>
  <c r="D100" i="18"/>
  <c r="E100" i="18" s="1"/>
  <c r="D89" i="18"/>
  <c r="E89" i="18" s="1"/>
  <c r="E270" i="17"/>
  <c r="F270" i="17" s="1"/>
  <c r="D128" i="18" l="1"/>
  <c r="C322" i="17"/>
  <c r="E141" i="17"/>
  <c r="F141" i="17" s="1"/>
  <c r="C211" i="17"/>
  <c r="C148" i="17"/>
  <c r="E148" i="17" s="1"/>
  <c r="F148" i="17" s="1"/>
  <c r="E128" i="18"/>
  <c r="D183" i="17"/>
  <c r="E183" i="17" s="1"/>
  <c r="D129" i="18"/>
  <c r="D323" i="17"/>
  <c r="E323" i="17" s="1"/>
  <c r="F209" i="17"/>
  <c r="C129" i="18"/>
  <c r="E129" i="18" s="1"/>
  <c r="D113" i="17"/>
  <c r="D324" i="17"/>
  <c r="D325" i="17" s="1"/>
  <c r="D211" i="17"/>
  <c r="E210" i="17"/>
  <c r="F210" i="17" s="1"/>
  <c r="E83" i="18"/>
  <c r="E96" i="18"/>
  <c r="D102" i="18"/>
  <c r="E102" i="18" s="1"/>
  <c r="E42" i="12"/>
  <c r="F42" i="12" s="1"/>
  <c r="C49" i="12"/>
  <c r="D131" i="18"/>
  <c r="E117" i="18"/>
  <c r="C113" i="17"/>
  <c r="C324" i="17"/>
  <c r="E92" i="17"/>
  <c r="F92" i="17" s="1"/>
  <c r="E291" i="17"/>
  <c r="D305" i="17"/>
  <c r="C105" i="18"/>
  <c r="C269" i="18"/>
  <c r="C268" i="18"/>
  <c r="F289" i="17"/>
  <c r="E304" i="17"/>
  <c r="F304" i="17" s="1"/>
  <c r="D90" i="18"/>
  <c r="E90" i="18" s="1"/>
  <c r="E84" i="18"/>
  <c r="E258" i="18"/>
  <c r="D264" i="18"/>
  <c r="E95" i="18"/>
  <c r="D103" i="18"/>
  <c r="E103" i="18" s="1"/>
  <c r="C305" i="17"/>
  <c r="F291" i="17"/>
  <c r="C43" i="5"/>
  <c r="E35" i="5"/>
  <c r="F35" i="5" s="1"/>
  <c r="E273" i="17"/>
  <c r="F273" i="17" s="1"/>
  <c r="C131" i="18" l="1"/>
  <c r="E131" i="18"/>
  <c r="E322" i="17"/>
  <c r="F322" i="17" s="1"/>
  <c r="E211" i="17"/>
  <c r="F211" i="17" s="1"/>
  <c r="E49" i="12"/>
  <c r="F49" i="12" s="1"/>
  <c r="E324" i="17"/>
  <c r="F324" i="17" s="1"/>
  <c r="C325" i="17"/>
  <c r="C271" i="18"/>
  <c r="E113" i="17"/>
  <c r="F113" i="17" s="1"/>
  <c r="D309" i="17"/>
  <c r="E305" i="17"/>
  <c r="F305" i="17" s="1"/>
  <c r="C309" i="17"/>
  <c r="D266" i="18"/>
  <c r="E264" i="18"/>
  <c r="D91" i="18"/>
  <c r="C50" i="5"/>
  <c r="E43" i="5"/>
  <c r="F43" i="5" s="1"/>
  <c r="E91" i="18" l="1"/>
  <c r="D105" i="18"/>
  <c r="E105" i="18" s="1"/>
  <c r="C310" i="17"/>
  <c r="E325" i="17"/>
  <c r="F325" i="17" s="1"/>
  <c r="E266" i="18"/>
  <c r="D267" i="18"/>
  <c r="E50" i="5"/>
  <c r="F50" i="5" s="1"/>
  <c r="E309" i="17"/>
  <c r="F309" i="17" s="1"/>
  <c r="D310" i="17"/>
  <c r="D312" i="17" l="1"/>
  <c r="E310" i="17"/>
  <c r="C312" i="17"/>
  <c r="F310" i="17"/>
  <c r="E267" i="18"/>
  <c r="D269" i="18"/>
  <c r="E269" i="18" s="1"/>
  <c r="D268" i="18"/>
  <c r="E268" i="18" l="1"/>
  <c r="D271" i="18"/>
  <c r="E271" i="18" s="1"/>
  <c r="C313" i="17"/>
  <c r="E312" i="17"/>
  <c r="F312" i="17" s="1"/>
  <c r="D313" i="17"/>
  <c r="D251" i="17" l="1"/>
  <c r="D314" i="17"/>
  <c r="E313" i="17"/>
  <c r="F313" i="17" s="1"/>
  <c r="D315" i="17"/>
  <c r="E315" i="17" s="1"/>
  <c r="D256" i="17"/>
  <c r="C251" i="17"/>
  <c r="C256" i="17"/>
  <c r="C314" i="17"/>
  <c r="C315" i="17"/>
  <c r="C257" i="17" l="1"/>
  <c r="D257" i="17"/>
  <c r="E257" i="17" s="1"/>
  <c r="E256" i="17"/>
  <c r="F256" i="17" s="1"/>
  <c r="D318" i="17"/>
  <c r="E314" i="17"/>
  <c r="F314" i="17" s="1"/>
  <c r="C318" i="17"/>
  <c r="F315" i="17"/>
  <c r="E251" i="17"/>
  <c r="F251" i="17" s="1"/>
  <c r="E318" i="17" l="1"/>
  <c r="F318" i="17" s="1"/>
  <c r="F257" i="17"/>
</calcChain>
</file>

<file path=xl/sharedStrings.xml><?xml version="1.0" encoding="utf-8"?>
<sst xmlns="http://schemas.openxmlformats.org/spreadsheetml/2006/main" count="2340" uniqueCount="1012">
  <si>
    <t>YALE-NEW HAVEN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</si>
  <si>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</si>
  <si>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</si>
  <si>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</si>
  <si>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</si>
  <si>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</si>
  <si>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</si>
  <si>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</si>
  <si>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</si>
  <si>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</si>
  <si>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</si>
  <si>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</si>
  <si>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</si>
  <si>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</si>
  <si>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</si>
  <si>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</si>
  <si>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</si>
  <si>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</si>
  <si>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</si>
  <si>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</si>
  <si>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</si>
  <si>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</si>
  <si>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</si>
  <si>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</si>
  <si>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</si>
  <si>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</si>
  <si>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</si>
  <si>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</si>
  <si>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</si>
  <si>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</si>
  <si>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</si>
  <si>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</si>
  <si>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</si>
  <si>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</si>
  <si>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</si>
  <si>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</si>
  <si>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</si>
  <si>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</si>
  <si>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</si>
  <si>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</si>
  <si>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</si>
  <si>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</si>
  <si>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</si>
  <si>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</si>
  <si>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</si>
  <si>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</si>
  <si>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</si>
  <si>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</si>
  <si>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</si>
  <si>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</si>
  <si>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</si>
  <si>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</si>
  <si>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</si>
  <si>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</si>
  <si>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</si>
  <si>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</si>
  <si>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</si>
  <si>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</si>
  <si>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</si>
  <si>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</si>
  <si>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</si>
  <si>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</si>
  <si>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</si>
  <si>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</si>
  <si>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</si>
  <si>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</si>
  <si>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</si>
  <si>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</si>
  <si>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</si>
  <si>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</si>
  <si>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</si>
  <si>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</si>
  <si>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</si>
  <si>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</si>
  <si>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</si>
  <si>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</si>
  <si>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</si>
  <si>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</si>
  <si>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</si>
  <si>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</si>
  <si>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</si>
  <si>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</si>
  <si>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</si>
  <si>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</si>
  <si>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</si>
  <si>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</si>
  <si>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</si>
  <si>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</si>
  <si>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</si>
  <si>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</si>
  <si>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</si>
  <si>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</si>
  <si>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</si>
  <si>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</si>
  <si>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</si>
  <si>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</si>
  <si>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</si>
  <si>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</si>
  <si>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</si>
  <si>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</si>
  <si>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</si>
  <si>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</si>
  <si>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</si>
  <si>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</si>
  <si>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</si>
  <si>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</si>
  <si>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</si>
  <si>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</si>
  <si>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</si>
  <si>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</si>
  <si>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</si>
  <si>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</si>
  <si>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</si>
  <si>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</si>
  <si>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</si>
  <si>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</si>
  <si>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</si>
  <si>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</si>
  <si>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</si>
  <si>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</si>
  <si>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</si>
  <si>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</si>
  <si>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</si>
  <si>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</si>
  <si>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</si>
  <si>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</si>
  <si>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</si>
  <si>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</si>
  <si>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</si>
  <si>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</si>
  <si>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</si>
  <si>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</si>
  <si>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</si>
  <si>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</si>
  <si>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</si>
  <si>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</si>
  <si>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</si>
  <si>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</si>
  <si>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</si>
  <si>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</si>
  <si>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</si>
  <si>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</si>
  <si>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</si>
  <si>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</si>
  <si>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</si>
  <si>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</si>
  <si>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</si>
  <si>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</si>
  <si>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</si>
  <si>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</si>
  <si>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</si>
  <si>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</si>
  <si>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</si>
  <si>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</si>
  <si>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</si>
  <si>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</si>
  <si>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</si>
  <si>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</si>
  <si>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</si>
  <si>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</si>
  <si>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</si>
  <si>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</si>
  <si>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</si>
  <si>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</si>
  <si>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</si>
  <si>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</si>
  <si>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</si>
  <si>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</si>
  <si>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</si>
  <si>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</si>
  <si>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</si>
  <si>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</si>
  <si>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</si>
  <si>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</si>
  <si>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</si>
  <si>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</si>
  <si>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</si>
  <si>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</si>
  <si>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</si>
  <si>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</si>
  <si>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</si>
  <si>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</si>
  <si>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</si>
  <si>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</si>
  <si>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</si>
  <si>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</si>
  <si>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</si>
  <si>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</si>
  <si>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</si>
  <si>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</si>
  <si>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</si>
  <si>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</si>
  <si>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</si>
  <si>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</si>
  <si>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</si>
  <si>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</si>
  <si>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</si>
  <si>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</si>
  <si>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</si>
  <si>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</si>
  <si>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</si>
  <si>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</si>
  <si>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</si>
  <si>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</si>
  <si>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</si>
  <si>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</si>
  <si>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</si>
  <si>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</si>
  <si>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</si>
  <si>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</si>
  <si>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</si>
  <si>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</si>
  <si>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</si>
  <si>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</si>
  <si>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</si>
  <si>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</si>
  <si>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</si>
  <si>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</si>
  <si>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</si>
  <si>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</si>
  <si>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</si>
  <si>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</si>
  <si>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</si>
  <si>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</si>
  <si>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</si>
  <si>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</si>
  <si>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</si>
  <si>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</si>
  <si>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</si>
  <si>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</si>
  <si>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</si>
  <si>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</si>
  <si>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</si>
  <si>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</si>
  <si>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</si>
  <si>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</si>
  <si>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</si>
  <si>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</si>
  <si>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</si>
  <si>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</si>
  <si>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</si>
  <si>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</si>
  <si>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</si>
  <si>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</si>
  <si>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</si>
  <si>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</si>
  <si>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</si>
  <si>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</si>
  <si>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</si>
  <si>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</si>
  <si>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</si>
  <si>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</si>
  <si>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</si>
  <si>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</si>
  <si>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</si>
  <si>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</si>
  <si>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</si>
  <si>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</si>
  <si>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</si>
  <si>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</si>
  <si>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</si>
  <si>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</si>
  <si>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</si>
  <si>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</si>
  <si>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</si>
  <si>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</si>
  <si>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</si>
  <si>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</si>
  <si>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</si>
  <si>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</si>
  <si>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</si>
  <si>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</si>
  <si>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</si>
  <si>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</si>
  <si>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</si>
  <si>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</si>
  <si>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</si>
  <si>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</si>
  <si>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</si>
  <si>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</si>
  <si>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</si>
  <si>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</si>
  <si>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</si>
  <si>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</si>
  <si>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</si>
  <si>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</si>
  <si>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</si>
  <si>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</si>
  <si>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</si>
  <si>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</si>
  <si>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</si>
  <si>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</si>
  <si>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</si>
  <si>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</si>
  <si>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</si>
  <si>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</si>
  <si>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</si>
  <si>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</si>
  <si>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</si>
  <si>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</si>
  <si>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</si>
  <si>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</si>
  <si>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</si>
  <si>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</si>
  <si>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</si>
  <si>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</si>
  <si>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</si>
  <si>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</si>
  <si>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</si>
  <si>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</si>
  <si>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</si>
  <si>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</si>
  <si>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</si>
  <si>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</si>
  <si>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</si>
  <si>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</si>
  <si>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</si>
  <si>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</si>
  <si>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</si>
  <si>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</si>
  <si>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</si>
  <si>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</si>
  <si>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</si>
  <si>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</si>
  <si>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</si>
  <si>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</si>
  <si>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</si>
  <si>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</si>
  <si>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</si>
  <si>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</si>
  <si>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</si>
  <si>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</si>
  <si>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</si>
  <si>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</si>
  <si>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</si>
  <si>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</si>
  <si>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</si>
  <si>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</si>
  <si>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</si>
  <si>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</si>
  <si>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</si>
  <si>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</si>
  <si>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</si>
  <si>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</si>
  <si>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</si>
  <si>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</si>
  <si>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</si>
  <si>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</si>
  <si>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</si>
  <si>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</si>
  <si>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</si>
  <si>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</si>
  <si>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</si>
  <si>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</si>
  <si>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</si>
  <si>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</si>
  <si>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</si>
  <si>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</si>
  <si>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</si>
  <si>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</si>
  <si>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</si>
  <si>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</si>
  <si>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</si>
  <si>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</si>
  <si>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</si>
  <si>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</si>
  <si>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</si>
  <si>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</si>
  <si>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</si>
  <si>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</si>
  <si>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</si>
  <si>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</si>
  <si>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</si>
  <si>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</si>
  <si>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</si>
  <si>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</si>
  <si>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</si>
  <si>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</si>
  <si>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</si>
  <si>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</si>
  <si>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</si>
  <si>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</si>
  <si>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</si>
  <si>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</si>
  <si>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</si>
  <si>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</si>
  <si>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</si>
  <si>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</si>
  <si>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</si>
  <si>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</si>
  <si>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</si>
  <si>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</si>
  <si>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</si>
  <si>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</si>
  <si>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</si>
  <si>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</si>
  <si>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</si>
  <si>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</si>
  <si>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</si>
  <si>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</si>
  <si>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</si>
  <si>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</si>
  <si>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</si>
  <si>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</si>
  <si>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</si>
  <si>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</si>
  <si>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</si>
  <si>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</si>
  <si>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</si>
  <si>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</si>
  <si>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</si>
  <si>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</si>
  <si>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</si>
  <si>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</si>
  <si>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</si>
  <si>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</si>
  <si>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</si>
  <si>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</si>
  <si>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</si>
  <si>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</si>
  <si>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</si>
  <si>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</si>
  <si>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</si>
  <si>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</si>
  <si>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</si>
  <si>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</si>
  <si>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</si>
  <si>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</si>
  <si>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</si>
  <si>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</si>
  <si>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</si>
  <si>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</si>
  <si>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</si>
  <si>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</si>
  <si>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</si>
  <si>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</si>
  <si>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</si>
  <si>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</si>
  <si>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</si>
  <si>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</si>
  <si>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</si>
  <si>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</si>
  <si>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</si>
  <si>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</si>
  <si>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</si>
  <si>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</si>
  <si>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</si>
  <si>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</si>
  <si>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</si>
  <si>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</si>
  <si>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</si>
  <si>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</si>
  <si>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</si>
  <si>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</si>
  <si>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</si>
  <si>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</si>
  <si>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</si>
  <si>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</si>
  <si>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</si>
  <si>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</si>
  <si>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</si>
  <si>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</si>
  <si>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</si>
  <si>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</si>
  <si>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</si>
  <si>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</si>
  <si>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</si>
  <si>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</si>
  <si>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</si>
  <si>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</si>
  <si>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</si>
  <si>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</si>
  <si>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</si>
  <si>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</si>
  <si>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</si>
  <si>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</si>
  <si>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</si>
  <si>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</si>
  <si>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</si>
  <si>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</si>
  <si>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</si>
  <si>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</si>
  <si>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</si>
  <si>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</si>
  <si>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</si>
  <si>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</si>
  <si>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</si>
  <si>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</si>
  <si>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</si>
  <si>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</si>
  <si>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</si>
  <si>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</si>
  <si>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</si>
  <si>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</si>
  <si>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</si>
  <si>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</si>
  <si>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</si>
  <si>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</si>
  <si>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</si>
  <si>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</si>
  <si>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YALE-NEW HAVEN HEALTH SERVICES CORP. (YNHHSC)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</si>
  <si>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</si>
  <si>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</si>
  <si>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</si>
  <si>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</si>
  <si>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</si>
  <si>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</si>
  <si>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</si>
  <si>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</si>
  <si>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</si>
  <si>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</si>
  <si>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</si>
  <si>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</si>
  <si>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</si>
  <si>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</si>
  <si>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</si>
  <si>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</si>
  <si>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</si>
  <si>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</si>
  <si>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</si>
  <si>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</si>
  <si>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</si>
  <si>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</si>
  <si>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</si>
  <si>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</si>
  <si>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</si>
  <si>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</si>
  <si>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</si>
  <si>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</si>
  <si>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</si>
  <si>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</si>
  <si>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</si>
  <si>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</si>
  <si>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</si>
  <si>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</si>
  <si>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</si>
  <si>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</si>
  <si>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</si>
  <si>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</si>
  <si>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</si>
  <si>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</si>
  <si>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</si>
  <si>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</si>
  <si>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</si>
  <si>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</si>
  <si>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</si>
  <si>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</si>
  <si>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</si>
  <si>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</si>
  <si>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</si>
  <si>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</si>
  <si>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</si>
  <si>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</si>
  <si>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</si>
  <si>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</si>
  <si>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</si>
  <si>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</si>
  <si>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</si>
  <si>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</si>
  <si>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</si>
  <si>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</si>
  <si>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</si>
  <si>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</si>
  <si>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</si>
  <si>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</si>
  <si>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</si>
  <si>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</si>
  <si>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</si>
  <si>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</si>
  <si>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</si>
  <si>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</si>
  <si>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</si>
  <si>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</si>
  <si>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</si>
  <si>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</si>
  <si>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</si>
  <si>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</si>
  <si>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</si>
  <si>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</si>
  <si>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</si>
  <si>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</si>
  <si>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</si>
  <si>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</si>
  <si>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</si>
  <si>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</si>
  <si>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</si>
  <si>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</si>
  <si>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</si>
  <si>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</si>
  <si>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</si>
  <si>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</si>
  <si>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</si>
  <si>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</si>
  <si>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</si>
  <si>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</si>
  <si>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</si>
  <si>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</si>
  <si>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</si>
  <si>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</si>
  <si>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</si>
  <si>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</si>
  <si>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</si>
  <si>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</si>
  <si>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</si>
  <si>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</si>
  <si>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</si>
  <si>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</si>
  <si>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</si>
  <si>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</si>
  <si>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</si>
  <si>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</si>
  <si>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</si>
  <si>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</si>
  <si>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</si>
  <si>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</si>
  <si>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</si>
  <si>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</si>
  <si>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</si>
  <si>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</si>
  <si>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</si>
  <si>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</si>
  <si>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SRC Operating</t>
  </si>
  <si>
    <t>Temple Medical Center</t>
  </si>
  <si>
    <t>Yale New Haven Hospital</t>
  </si>
  <si>
    <t>Total Outpatient Surgical Procedures(A)</t>
  </si>
  <si>
    <t>Total Outpatient Endoscopy Procedures(B)</t>
  </si>
  <si>
    <t>Outpatient Hospital Emergency Room Visits</t>
  </si>
  <si>
    <t>N/A</t>
  </si>
  <si>
    <t>Shoreline Medical Center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</si>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</sst>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8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101130000</v>
      </c>
      <c r="D13" s="22">
        <v>72250000</v>
      </c>
      <c r="E13" s="22">
        <f t="shared" ref="E13:E22" si="0">D13-C13</f>
        <v>-28880000</v>
      </c>
      <c r="F13" s="23">
        <f t="shared" ref="F13:F22" si="1">IF(C13=0,0,E13/C13)</f>
        <v>-0.28557302481953922</v>
      </c>
    </row>
    <row r="14" spans="1:8" ht="24" customHeight="1" x14ac:dyDescent="0.2">
      <c r="A14" s="20">
        <v>2</v>
      </c>
      <c r="B14" s="21" t="s">
        <v>17</v>
      </c>
      <c r="C14" s="22">
        <v>980087000</v>
      </c>
      <c r="D14" s="22">
        <v>1121276000</v>
      </c>
      <c r="E14" s="22">
        <f t="shared" si="0"/>
        <v>141189000</v>
      </c>
      <c r="F14" s="23">
        <f t="shared" si="1"/>
        <v>0.14405761937460654</v>
      </c>
    </row>
    <row r="15" spans="1:8" ht="24" customHeight="1" x14ac:dyDescent="0.2">
      <c r="A15" s="20">
        <v>3</v>
      </c>
      <c r="B15" s="21" t="s">
        <v>18</v>
      </c>
      <c r="C15" s="22">
        <v>286728000</v>
      </c>
      <c r="D15" s="22">
        <v>254009000</v>
      </c>
      <c r="E15" s="22">
        <f t="shared" si="0"/>
        <v>-32719000</v>
      </c>
      <c r="F15" s="23">
        <f t="shared" si="1"/>
        <v>-0.11411163192991267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39408000</v>
      </c>
      <c r="D19" s="22">
        <v>39475000</v>
      </c>
      <c r="E19" s="22">
        <f t="shared" si="0"/>
        <v>67000</v>
      </c>
      <c r="F19" s="23">
        <f t="shared" si="1"/>
        <v>1.7001624035728785E-3</v>
      </c>
    </row>
    <row r="20" spans="1:11" ht="24" customHeight="1" x14ac:dyDescent="0.2">
      <c r="A20" s="20">
        <v>8</v>
      </c>
      <c r="B20" s="21" t="s">
        <v>23</v>
      </c>
      <c r="C20" s="22">
        <v>34914000</v>
      </c>
      <c r="D20" s="22">
        <v>36506000</v>
      </c>
      <c r="E20" s="22">
        <f t="shared" si="0"/>
        <v>1592000</v>
      </c>
      <c r="F20" s="23">
        <f t="shared" si="1"/>
        <v>4.5597754482442576E-2</v>
      </c>
    </row>
    <row r="21" spans="1:11" ht="24" customHeight="1" x14ac:dyDescent="0.2">
      <c r="A21" s="20">
        <v>9</v>
      </c>
      <c r="B21" s="21" t="s">
        <v>24</v>
      </c>
      <c r="C21" s="22">
        <v>58101000</v>
      </c>
      <c r="D21" s="22">
        <v>65174000</v>
      </c>
      <c r="E21" s="22">
        <f t="shared" si="0"/>
        <v>7073000</v>
      </c>
      <c r="F21" s="23">
        <f t="shared" si="1"/>
        <v>0.12173628681089826</v>
      </c>
    </row>
    <row r="22" spans="1:11" ht="24" customHeight="1" x14ac:dyDescent="0.25">
      <c r="A22" s="24"/>
      <c r="B22" s="25" t="s">
        <v>25</v>
      </c>
      <c r="C22" s="26">
        <f>SUM(C13:C21)</f>
        <v>1500368000</v>
      </c>
      <c r="D22" s="26">
        <f>SUM(D13:D21)</f>
        <v>1588690000</v>
      </c>
      <c r="E22" s="26">
        <f t="shared" si="0"/>
        <v>88322000</v>
      </c>
      <c r="F22" s="27">
        <f t="shared" si="1"/>
        <v>5.8866891322662172E-2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18051000</v>
      </c>
      <c r="D25" s="22">
        <v>18342000</v>
      </c>
      <c r="E25" s="22">
        <f>D25-C25</f>
        <v>291000</v>
      </c>
      <c r="F25" s="23">
        <f>IF(C25=0,0,E25/C25)</f>
        <v>1.6120990526840618E-2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78837000</v>
      </c>
      <c r="D26" s="22">
        <v>84031000</v>
      </c>
      <c r="E26" s="22">
        <f>D26-C26</f>
        <v>5194000</v>
      </c>
      <c r="F26" s="23">
        <f>IF(C26=0,0,E26/C26)</f>
        <v>6.5882770780217412E-2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96888000</v>
      </c>
      <c r="D29" s="26">
        <f>SUM(D25:D28)</f>
        <v>102373000</v>
      </c>
      <c r="E29" s="26">
        <f>D29-C29</f>
        <v>5485000</v>
      </c>
      <c r="F29" s="27">
        <f>IF(C29=0,0,E29/C29)</f>
        <v>5.6611757906035835E-2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289434000</v>
      </c>
      <c r="D32" s="22">
        <v>392424000</v>
      </c>
      <c r="E32" s="22">
        <f>D32-C32</f>
        <v>102990000</v>
      </c>
      <c r="F32" s="23">
        <f>IF(C32=0,0,E32/C32)</f>
        <v>0.35583241775327018</v>
      </c>
    </row>
    <row r="33" spans="1:8" ht="24" customHeight="1" x14ac:dyDescent="0.2">
      <c r="A33" s="20">
        <v>7</v>
      </c>
      <c r="B33" s="21" t="s">
        <v>35</v>
      </c>
      <c r="C33" s="22">
        <v>297453000</v>
      </c>
      <c r="D33" s="22">
        <v>275015000</v>
      </c>
      <c r="E33" s="22">
        <f>D33-C33</f>
        <v>-22438000</v>
      </c>
      <c r="F33" s="23">
        <f>IF(C33=0,0,E33/C33)</f>
        <v>-7.5433766006730477E-2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1664895000</v>
      </c>
      <c r="D36" s="22">
        <v>1783055000</v>
      </c>
      <c r="E36" s="22">
        <f>D36-C36</f>
        <v>118160000</v>
      </c>
      <c r="F36" s="23">
        <f>IF(C36=0,0,E36/C36)</f>
        <v>7.0971442643530072E-2</v>
      </c>
    </row>
    <row r="37" spans="1:8" ht="24" customHeight="1" x14ac:dyDescent="0.2">
      <c r="A37" s="20">
        <v>2</v>
      </c>
      <c r="B37" s="21" t="s">
        <v>39</v>
      </c>
      <c r="C37" s="22">
        <v>808887000</v>
      </c>
      <c r="D37" s="22">
        <v>890952000</v>
      </c>
      <c r="E37" s="22">
        <f>D37-C37</f>
        <v>82065000</v>
      </c>
      <c r="F37" s="23">
        <f>IF(C37=0,0,E37/C37)</f>
        <v>0.10145422042881144</v>
      </c>
    </row>
    <row r="38" spans="1:8" ht="24" customHeight="1" x14ac:dyDescent="0.25">
      <c r="A38" s="24"/>
      <c r="B38" s="25" t="s">
        <v>40</v>
      </c>
      <c r="C38" s="26">
        <f>C36-C37</f>
        <v>856008000</v>
      </c>
      <c r="D38" s="26">
        <f>D36-D37</f>
        <v>892103000</v>
      </c>
      <c r="E38" s="26">
        <f>D38-C38</f>
        <v>36095000</v>
      </c>
      <c r="F38" s="27">
        <f>IF(C38=0,0,E38/C38)</f>
        <v>4.2166661993813144E-2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80774000</v>
      </c>
      <c r="D40" s="22">
        <v>83869000</v>
      </c>
      <c r="E40" s="22">
        <f>D40-C40</f>
        <v>3095000</v>
      </c>
      <c r="F40" s="23">
        <f>IF(C40=0,0,E40/C40)</f>
        <v>3.8316785104117665E-2</v>
      </c>
    </row>
    <row r="41" spans="1:8" ht="24" customHeight="1" x14ac:dyDescent="0.25">
      <c r="A41" s="24"/>
      <c r="B41" s="25" t="s">
        <v>42</v>
      </c>
      <c r="C41" s="26">
        <f>+C38+C40</f>
        <v>936782000</v>
      </c>
      <c r="D41" s="26">
        <f>+D38+D40</f>
        <v>975972000</v>
      </c>
      <c r="E41" s="26">
        <f>D41-C41</f>
        <v>39190000</v>
      </c>
      <c r="F41" s="27">
        <f>IF(C41=0,0,E41/C41)</f>
        <v>4.1834706473864787E-2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3120925000</v>
      </c>
      <c r="D43" s="26">
        <f>D22+D29+D31+D32+D33+D41</f>
        <v>3334474000</v>
      </c>
      <c r="E43" s="26">
        <f>D43-C43</f>
        <v>213549000</v>
      </c>
      <c r="F43" s="27">
        <f>IF(C43=0,0,E43/C43)</f>
        <v>6.8424906077525091E-2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258947000</v>
      </c>
      <c r="D49" s="22">
        <v>301772000</v>
      </c>
      <c r="E49" s="22">
        <f t="shared" ref="E49:E56" si="2">D49-C49</f>
        <v>42825000</v>
      </c>
      <c r="F49" s="23">
        <f t="shared" ref="F49:F56" si="3">IF(C49=0,0,E49/C49)</f>
        <v>0.16538133285961992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87225000</v>
      </c>
      <c r="D50" s="22">
        <v>98206000</v>
      </c>
      <c r="E50" s="22">
        <f t="shared" si="2"/>
        <v>10981000</v>
      </c>
      <c r="F50" s="23">
        <f t="shared" si="3"/>
        <v>0.12589280596159358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0</v>
      </c>
      <c r="D51" s="22">
        <v>0</v>
      </c>
      <c r="E51" s="22">
        <f t="shared" si="2"/>
        <v>0</v>
      </c>
      <c r="F51" s="23">
        <f t="shared" si="3"/>
        <v>0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29938000</v>
      </c>
      <c r="D53" s="22">
        <v>39492000</v>
      </c>
      <c r="E53" s="22">
        <f t="shared" si="2"/>
        <v>9554000</v>
      </c>
      <c r="F53" s="23">
        <f t="shared" si="3"/>
        <v>0.31912619413454474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58668000</v>
      </c>
      <c r="D55" s="22">
        <v>52701000</v>
      </c>
      <c r="E55" s="22">
        <f t="shared" si="2"/>
        <v>-5967000</v>
      </c>
      <c r="F55" s="23">
        <f t="shared" si="3"/>
        <v>-0.10170791572918797</v>
      </c>
    </row>
    <row r="56" spans="1:6" ht="24" customHeight="1" x14ac:dyDescent="0.25">
      <c r="A56" s="24"/>
      <c r="B56" s="25" t="s">
        <v>54</v>
      </c>
      <c r="C56" s="26">
        <f>SUM(C49:C55)</f>
        <v>434778000</v>
      </c>
      <c r="D56" s="26">
        <f>SUM(D49:D55)</f>
        <v>492171000</v>
      </c>
      <c r="E56" s="26">
        <f t="shared" si="2"/>
        <v>57393000</v>
      </c>
      <c r="F56" s="27">
        <f t="shared" si="3"/>
        <v>0.1320052992561721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800348000</v>
      </c>
      <c r="D59" s="22">
        <v>773528000</v>
      </c>
      <c r="E59" s="22">
        <f>D59-C59</f>
        <v>-26820000</v>
      </c>
      <c r="F59" s="23">
        <f>IF(C59=0,0,E59/C59)</f>
        <v>-3.3510422966009784E-2</v>
      </c>
    </row>
    <row r="60" spans="1:6" ht="24" customHeight="1" x14ac:dyDescent="0.2">
      <c r="A60" s="20">
        <v>2</v>
      </c>
      <c r="B60" s="21" t="s">
        <v>57</v>
      </c>
      <c r="C60" s="22">
        <v>46850000</v>
      </c>
      <c r="D60" s="22">
        <v>44724000</v>
      </c>
      <c r="E60" s="22">
        <f>D60-C60</f>
        <v>-2126000</v>
      </c>
      <c r="F60" s="23">
        <f>IF(C60=0,0,E60/C60)</f>
        <v>-4.5378868729989329E-2</v>
      </c>
    </row>
    <row r="61" spans="1:6" ht="24" customHeight="1" x14ac:dyDescent="0.25">
      <c r="A61" s="24"/>
      <c r="B61" s="25" t="s">
        <v>58</v>
      </c>
      <c r="C61" s="26">
        <f>SUM(C59:C60)</f>
        <v>847198000</v>
      </c>
      <c r="D61" s="26">
        <f>SUM(D59:D60)</f>
        <v>818252000</v>
      </c>
      <c r="E61" s="26">
        <f>D61-C61</f>
        <v>-28946000</v>
      </c>
      <c r="F61" s="27">
        <f>IF(C61=0,0,E61/C61)</f>
        <v>-3.4166747324710402E-2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228810000</v>
      </c>
      <c r="D63" s="22">
        <v>258936000</v>
      </c>
      <c r="E63" s="22">
        <f>D63-C63</f>
        <v>30126000</v>
      </c>
      <c r="F63" s="23">
        <f>IF(C63=0,0,E63/C63)</f>
        <v>0.13166382588173595</v>
      </c>
    </row>
    <row r="64" spans="1:6" ht="24" customHeight="1" x14ac:dyDescent="0.2">
      <c r="A64" s="20">
        <v>4</v>
      </c>
      <c r="B64" s="21" t="s">
        <v>60</v>
      </c>
      <c r="C64" s="22">
        <v>385147000</v>
      </c>
      <c r="D64" s="22">
        <v>422171000</v>
      </c>
      <c r="E64" s="22">
        <f>D64-C64</f>
        <v>37024000</v>
      </c>
      <c r="F64" s="23">
        <f>IF(C64=0,0,E64/C64)</f>
        <v>9.6129529763960248E-2</v>
      </c>
    </row>
    <row r="65" spans="1:6" ht="24" customHeight="1" x14ac:dyDescent="0.25">
      <c r="A65" s="24"/>
      <c r="B65" s="25" t="s">
        <v>61</v>
      </c>
      <c r="C65" s="26">
        <f>SUM(C61:C64)</f>
        <v>1461155000</v>
      </c>
      <c r="D65" s="26">
        <f>SUM(D61:D64)</f>
        <v>1499359000</v>
      </c>
      <c r="E65" s="26">
        <f>D65-C65</f>
        <v>38204000</v>
      </c>
      <c r="F65" s="27">
        <f>IF(C65=0,0,E65/C65)</f>
        <v>2.6146438947271165E-2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1107165000</v>
      </c>
      <c r="D70" s="22">
        <v>1239508000</v>
      </c>
      <c r="E70" s="22">
        <f>D70-C70</f>
        <v>132343000</v>
      </c>
      <c r="F70" s="23">
        <f>IF(C70=0,0,E70/C70)</f>
        <v>0.11953322223878103</v>
      </c>
    </row>
    <row r="71" spans="1:6" ht="24" customHeight="1" x14ac:dyDescent="0.2">
      <c r="A71" s="20">
        <v>2</v>
      </c>
      <c r="B71" s="21" t="s">
        <v>65</v>
      </c>
      <c r="C71" s="22">
        <v>70941000</v>
      </c>
      <c r="D71" s="22">
        <v>56203000</v>
      </c>
      <c r="E71" s="22">
        <f>D71-C71</f>
        <v>-14738000</v>
      </c>
      <c r="F71" s="23">
        <f>IF(C71=0,0,E71/C71)</f>
        <v>-0.20775010219760082</v>
      </c>
    </row>
    <row r="72" spans="1:6" ht="24" customHeight="1" x14ac:dyDescent="0.2">
      <c r="A72" s="20">
        <v>3</v>
      </c>
      <c r="B72" s="21" t="s">
        <v>66</v>
      </c>
      <c r="C72" s="22">
        <v>46886000</v>
      </c>
      <c r="D72" s="22">
        <v>47233000</v>
      </c>
      <c r="E72" s="22">
        <f>D72-C72</f>
        <v>347000</v>
      </c>
      <c r="F72" s="23">
        <f>IF(C72=0,0,E72/C72)</f>
        <v>7.4009299151132531E-3</v>
      </c>
    </row>
    <row r="73" spans="1:6" ht="24" customHeight="1" x14ac:dyDescent="0.25">
      <c r="A73" s="20"/>
      <c r="B73" s="25" t="s">
        <v>67</v>
      </c>
      <c r="C73" s="26">
        <f>SUM(C70:C72)</f>
        <v>1224992000</v>
      </c>
      <c r="D73" s="26">
        <f>SUM(D70:D72)</f>
        <v>1342944000</v>
      </c>
      <c r="E73" s="26">
        <f>D73-C73</f>
        <v>117952000</v>
      </c>
      <c r="F73" s="27">
        <f>IF(C73=0,0,E73/C73)</f>
        <v>9.6287975758209035E-2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3120925000</v>
      </c>
      <c r="D75" s="26">
        <f>D56+D65+D67+D73</f>
        <v>3334474000</v>
      </c>
      <c r="E75" s="26">
        <f>D75-C75</f>
        <v>213549000</v>
      </c>
      <c r="F75" s="27">
        <f>IF(C75=0,0,E75/C75)</f>
        <v>6.8424906077525091E-2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0" orientation="portrait" horizontalDpi="1200" verticalDpi="1200" r:id="rId1"/>
  <headerFooter>
    <oddHeader>&amp;LOFFICE OF HEALTH CARE ACCESS&amp;CTWELVE MONTHS ACTUAL FILING&amp;RYALE-NEW HAVEN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3287692000</v>
      </c>
      <c r="D11" s="76">
        <v>3492685000</v>
      </c>
      <c r="E11" s="76">
        <v>3579271000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106994000</v>
      </c>
      <c r="D12" s="185">
        <v>109595000</v>
      </c>
      <c r="E12" s="185">
        <v>207633000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3394686000</v>
      </c>
      <c r="D13" s="76">
        <f>+D11+D12</f>
        <v>3602280000</v>
      </c>
      <c r="E13" s="76">
        <f>+E11+E12</f>
        <v>3786904000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3224574000</v>
      </c>
      <c r="D14" s="185">
        <v>3442624000</v>
      </c>
      <c r="E14" s="185">
        <v>3647566000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170112000</v>
      </c>
      <c r="D15" s="76">
        <f>+D13-D14</f>
        <v>159656000</v>
      </c>
      <c r="E15" s="76">
        <f>+E13-E14</f>
        <v>139338000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34189000</v>
      </c>
      <c r="D16" s="185">
        <v>-15565000</v>
      </c>
      <c r="E16" s="185">
        <v>320570000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204301000</v>
      </c>
      <c r="D17" s="76">
        <f>D15+D16</f>
        <v>144091000</v>
      </c>
      <c r="E17" s="76">
        <f>E15+E16</f>
        <v>459908000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4.9611607305603149E-2</v>
      </c>
      <c r="D20" s="189">
        <f>IF(+D27=0,0,+D24/+D27)</f>
        <v>4.4513154794847097E-2</v>
      </c>
      <c r="E20" s="189">
        <f>IF(+E27=0,0,+E24/+E27)</f>
        <v>3.3923038831164848E-2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9.97090882578105E-3</v>
      </c>
      <c r="D21" s="189">
        <f>IF(+D27=0,0,+D26/+D27)</f>
        <v>-4.3396255347860086E-3</v>
      </c>
      <c r="E21" s="189">
        <f>IF(+E27=0,0,+E26/+E27)</f>
        <v>7.8045533580979459E-2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5.9582516131384197E-2</v>
      </c>
      <c r="D22" s="189">
        <f>IF(+D27=0,0,+D28/+D27)</f>
        <v>4.0173529260061083E-2</v>
      </c>
      <c r="E22" s="189">
        <f>IF(+E27=0,0,+E28/+E27)</f>
        <v>0.11196857241214431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170112000</v>
      </c>
      <c r="D24" s="76">
        <f>+D15</f>
        <v>159656000</v>
      </c>
      <c r="E24" s="76">
        <f>+E15</f>
        <v>139338000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3394686000</v>
      </c>
      <c r="D25" s="76">
        <f>+D13</f>
        <v>3602280000</v>
      </c>
      <c r="E25" s="76">
        <f>+E13</f>
        <v>3786904000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34189000</v>
      </c>
      <c r="D26" s="76">
        <f>+D16</f>
        <v>-15565000</v>
      </c>
      <c r="E26" s="76">
        <f>+E16</f>
        <v>320570000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3428875000</v>
      </c>
      <c r="D27" s="76">
        <f>SUM(D25:D26)</f>
        <v>3586715000</v>
      </c>
      <c r="E27" s="76">
        <f>SUM(E25:E26)</f>
        <v>4107474000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204301000</v>
      </c>
      <c r="D28" s="76">
        <f>+D17</f>
        <v>144091000</v>
      </c>
      <c r="E28" s="76">
        <f>+E17</f>
        <v>459908000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1644056000</v>
      </c>
      <c r="D31" s="76">
        <v>1750995000</v>
      </c>
      <c r="E31" s="76">
        <v>2147552000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1866624000</v>
      </c>
      <c r="D32" s="76">
        <v>1991919000</v>
      </c>
      <c r="E32" s="76">
        <v>2421056000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840644000</v>
      </c>
      <c r="D33" s="76">
        <f>+D32-C32</f>
        <v>125295000</v>
      </c>
      <c r="E33" s="76">
        <f>+E32-D32</f>
        <v>429137000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1.8192999999999999</v>
      </c>
      <c r="D34" s="193">
        <f>IF(C32=0,0,+D33/C32)</f>
        <v>6.7123855688130007E-2</v>
      </c>
      <c r="E34" s="193">
        <f>IF(D32=0,0,+E33/D32)</f>
        <v>0.21543898120355295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2.9653532596725967</v>
      </c>
      <c r="D38" s="338">
        <f>IF(+D40=0,0,+D39/+D40)</f>
        <v>2.9362196163702725</v>
      </c>
      <c r="E38" s="338">
        <f>IF(+E40=0,0,+E39/+E40)</f>
        <v>2.8479618982952744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1683007000</v>
      </c>
      <c r="D39" s="341">
        <v>1890485000</v>
      </c>
      <c r="E39" s="341">
        <v>2046853000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567557000</v>
      </c>
      <c r="D40" s="341">
        <v>643850000</v>
      </c>
      <c r="E40" s="341">
        <v>718708000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144.66881307910103</v>
      </c>
      <c r="D42" s="343">
        <f>IF((D48/365)=0,0,+D45/(D48/365))</f>
        <v>151.9338221747301</v>
      </c>
      <c r="E42" s="343">
        <f>IF((E48/365)=0,0,+E45/(E48/365))</f>
        <v>162.78980862969041</v>
      </c>
    </row>
    <row r="43" spans="1:14" ht="24" customHeight="1" x14ac:dyDescent="0.2">
      <c r="A43" s="339">
        <v>5</v>
      </c>
      <c r="B43" s="344" t="s">
        <v>16</v>
      </c>
      <c r="C43" s="345">
        <v>161059000</v>
      </c>
      <c r="D43" s="345">
        <v>194946000</v>
      </c>
      <c r="E43" s="345">
        <v>169479000</v>
      </c>
    </row>
    <row r="44" spans="1:14" ht="24" customHeight="1" x14ac:dyDescent="0.2">
      <c r="A44" s="339">
        <v>6</v>
      </c>
      <c r="B44" s="346" t="s">
        <v>17</v>
      </c>
      <c r="C44" s="345">
        <v>1040882000</v>
      </c>
      <c r="D44" s="345">
        <v>1160670000</v>
      </c>
      <c r="E44" s="345">
        <v>1371905000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1201941000</v>
      </c>
      <c r="D45" s="341">
        <f>+D43+D44</f>
        <v>1355616000</v>
      </c>
      <c r="E45" s="341">
        <f>+E43+E44</f>
        <v>1541384000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3224574000</v>
      </c>
      <c r="D46" s="341">
        <f>+D14</f>
        <v>3442624000</v>
      </c>
      <c r="E46" s="341">
        <f>+E14</f>
        <v>3647566000</v>
      </c>
    </row>
    <row r="47" spans="1:14" ht="24" customHeight="1" x14ac:dyDescent="0.2">
      <c r="A47" s="339">
        <v>9</v>
      </c>
      <c r="B47" s="340" t="s">
        <v>356</v>
      </c>
      <c r="C47" s="341">
        <v>192072000</v>
      </c>
      <c r="D47" s="341">
        <v>185944000</v>
      </c>
      <c r="E47" s="341">
        <v>191544000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3032502000</v>
      </c>
      <c r="D48" s="341">
        <f>+D46-D47</f>
        <v>3256680000</v>
      </c>
      <c r="E48" s="341">
        <f>+E46-E47</f>
        <v>3456022000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40.893377481832246</v>
      </c>
      <c r="D50" s="350">
        <f>IF((D55/365)=0,0,+D54/(D55/365))</f>
        <v>42.396697669557945</v>
      </c>
      <c r="E50" s="350">
        <f>IF((E55/365)=0,0,+E54/(E55/365))</f>
        <v>37.819662160255533</v>
      </c>
    </row>
    <row r="51" spans="1:5" ht="24" customHeight="1" x14ac:dyDescent="0.2">
      <c r="A51" s="339">
        <v>12</v>
      </c>
      <c r="B51" s="344" t="s">
        <v>359</v>
      </c>
      <c r="C51" s="351">
        <v>368342000</v>
      </c>
      <c r="D51" s="351">
        <v>405694000</v>
      </c>
      <c r="E51" s="351">
        <v>370868000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0</v>
      </c>
      <c r="D53" s="341">
        <v>0</v>
      </c>
      <c r="E53" s="341">
        <v>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368342000</v>
      </c>
      <c r="D54" s="352">
        <f>+D51+D52-D53</f>
        <v>405694000</v>
      </c>
      <c r="E54" s="352">
        <f>+E51+E52-E53</f>
        <v>370868000</v>
      </c>
    </row>
    <row r="55" spans="1:5" ht="24" customHeight="1" x14ac:dyDescent="0.2">
      <c r="A55" s="339">
        <v>16</v>
      </c>
      <c r="B55" s="340" t="s">
        <v>75</v>
      </c>
      <c r="C55" s="341">
        <f>+C11</f>
        <v>3287692000</v>
      </c>
      <c r="D55" s="341">
        <f>+D11</f>
        <v>3492685000</v>
      </c>
      <c r="E55" s="341">
        <f>+E11</f>
        <v>3579271000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68.312668878701487</v>
      </c>
      <c r="D57" s="355">
        <f>IF((D61/365)=0,0,+D58/(D61/365))</f>
        <v>72.160989105469369</v>
      </c>
      <c r="E57" s="355">
        <f>IF((E61/365)=0,0,+E58/(E61/365))</f>
        <v>75.904730930532267</v>
      </c>
    </row>
    <row r="58" spans="1:5" ht="24" customHeight="1" x14ac:dyDescent="0.2">
      <c r="A58" s="339">
        <v>18</v>
      </c>
      <c r="B58" s="340" t="s">
        <v>54</v>
      </c>
      <c r="C58" s="353">
        <f>+C40</f>
        <v>567557000</v>
      </c>
      <c r="D58" s="353">
        <f>+D40</f>
        <v>643850000</v>
      </c>
      <c r="E58" s="353">
        <f>+E40</f>
        <v>718708000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3224574000</v>
      </c>
      <c r="D59" s="353">
        <f t="shared" si="0"/>
        <v>3442624000</v>
      </c>
      <c r="E59" s="353">
        <f t="shared" si="0"/>
        <v>3647566000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192072000</v>
      </c>
      <c r="D60" s="356">
        <f t="shared" si="0"/>
        <v>185944000</v>
      </c>
      <c r="E60" s="356">
        <f t="shared" si="0"/>
        <v>191544000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3032502000</v>
      </c>
      <c r="D61" s="353">
        <f>+D59-D60</f>
        <v>3256680000</v>
      </c>
      <c r="E61" s="353">
        <f>+E59-E60</f>
        <v>3456022000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44.095108709132646</v>
      </c>
      <c r="D65" s="357">
        <f>IF(D67=0,0,(D66/D67)*100)</f>
        <v>44.414860585849588</v>
      </c>
      <c r="E65" s="357">
        <f>IF(E67=0,0,(E66/E67)*100)</f>
        <v>47.585555710173914</v>
      </c>
    </row>
    <row r="66" spans="1:5" ht="24" customHeight="1" x14ac:dyDescent="0.2">
      <c r="A66" s="339">
        <v>2</v>
      </c>
      <c r="B66" s="340" t="s">
        <v>67</v>
      </c>
      <c r="C66" s="353">
        <f>+C32</f>
        <v>1866624000</v>
      </c>
      <c r="D66" s="353">
        <f>+D32</f>
        <v>1991919000</v>
      </c>
      <c r="E66" s="353">
        <f>+E32</f>
        <v>2421056000</v>
      </c>
    </row>
    <row r="67" spans="1:5" ht="24" customHeight="1" x14ac:dyDescent="0.2">
      <c r="A67" s="339">
        <v>3</v>
      </c>
      <c r="B67" s="340" t="s">
        <v>43</v>
      </c>
      <c r="C67" s="353">
        <v>4233177000</v>
      </c>
      <c r="D67" s="353">
        <v>4484803000</v>
      </c>
      <c r="E67" s="353">
        <v>5087796000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25.479312397391212</v>
      </c>
      <c r="D69" s="357">
        <f>IF(D75=0,0,(D72/D75)*100)</f>
        <v>19.915711165917092</v>
      </c>
      <c r="E69" s="357">
        <f>IF(E75=0,0,(E72/E75)*100)</f>
        <v>37.713452740085671</v>
      </c>
    </row>
    <row r="70" spans="1:5" ht="24" customHeight="1" x14ac:dyDescent="0.2">
      <c r="A70" s="339">
        <v>5</v>
      </c>
      <c r="B70" s="340" t="s">
        <v>366</v>
      </c>
      <c r="C70" s="353">
        <f>+C28</f>
        <v>204301000</v>
      </c>
      <c r="D70" s="353">
        <f>+D28</f>
        <v>144091000</v>
      </c>
      <c r="E70" s="353">
        <f>+E28</f>
        <v>459908000</v>
      </c>
    </row>
    <row r="71" spans="1:5" ht="24" customHeight="1" x14ac:dyDescent="0.2">
      <c r="A71" s="339">
        <v>6</v>
      </c>
      <c r="B71" s="340" t="s">
        <v>356</v>
      </c>
      <c r="C71" s="356">
        <f>+C47</f>
        <v>192072000</v>
      </c>
      <c r="D71" s="356">
        <f>+D47</f>
        <v>185944000</v>
      </c>
      <c r="E71" s="356">
        <f>+E47</f>
        <v>191544000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396373000</v>
      </c>
      <c r="D72" s="353">
        <f>+D70+D71</f>
        <v>330035000</v>
      </c>
      <c r="E72" s="353">
        <f>+E70+E71</f>
        <v>651452000</v>
      </c>
    </row>
    <row r="73" spans="1:5" ht="24" customHeight="1" x14ac:dyDescent="0.2">
      <c r="A73" s="339">
        <v>8</v>
      </c>
      <c r="B73" s="340" t="s">
        <v>54</v>
      </c>
      <c r="C73" s="341">
        <f>+C40</f>
        <v>567557000</v>
      </c>
      <c r="D73" s="341">
        <f>+D40</f>
        <v>643850000</v>
      </c>
      <c r="E73" s="341">
        <f>+E40</f>
        <v>718708000</v>
      </c>
    </row>
    <row r="74" spans="1:5" ht="24" customHeight="1" x14ac:dyDescent="0.2">
      <c r="A74" s="339">
        <v>9</v>
      </c>
      <c r="B74" s="340" t="s">
        <v>58</v>
      </c>
      <c r="C74" s="353">
        <v>988109000</v>
      </c>
      <c r="D74" s="353">
        <v>1013309000</v>
      </c>
      <c r="E74" s="353">
        <v>1008665000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1555666000</v>
      </c>
      <c r="D75" s="341">
        <f>+D73+D74</f>
        <v>1657159000</v>
      </c>
      <c r="E75" s="341">
        <f>+E73+E74</f>
        <v>1727373000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34.61300934273013</v>
      </c>
      <c r="D77" s="359">
        <f>IF(D80=0,0,(D78/D80)*100)</f>
        <v>33.718207071144022</v>
      </c>
      <c r="E77" s="359">
        <f>IF(E80=0,0,(E78/E80)*100)</f>
        <v>29.409535061306734</v>
      </c>
    </row>
    <row r="78" spans="1:5" ht="24" customHeight="1" x14ac:dyDescent="0.2">
      <c r="A78" s="339">
        <v>12</v>
      </c>
      <c r="B78" s="340" t="s">
        <v>58</v>
      </c>
      <c r="C78" s="341">
        <f>+C74</f>
        <v>988109000</v>
      </c>
      <c r="D78" s="341">
        <f>+D74</f>
        <v>1013309000</v>
      </c>
      <c r="E78" s="341">
        <f>+E74</f>
        <v>1008665000</v>
      </c>
    </row>
    <row r="79" spans="1:5" ht="24" customHeight="1" x14ac:dyDescent="0.2">
      <c r="A79" s="339">
        <v>13</v>
      </c>
      <c r="B79" s="340" t="s">
        <v>67</v>
      </c>
      <c r="C79" s="341">
        <f>+C32</f>
        <v>1866624000</v>
      </c>
      <c r="D79" s="341">
        <f>+D32</f>
        <v>1991919000</v>
      </c>
      <c r="E79" s="341">
        <f>+E32</f>
        <v>2421056000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2854733000</v>
      </c>
      <c r="D80" s="341">
        <f>+D78+D79</f>
        <v>3005228000</v>
      </c>
      <c r="E80" s="341">
        <f>+E78+E79</f>
        <v>3429721000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4" fitToHeight="0" orientation="portrait" horizontalDpi="1200" verticalDpi="1200" r:id="rId1"/>
  <headerFooter>
    <oddHeader>_x000D_
                &amp;L&amp;8OFFICE OF HEALTH CARE ACCESS&amp;C&amp;8TWELVE MONTHS ACTUAL FILING&amp;R&amp;8YALE-NEW HAVEN HEALTH SERVICES CORP. (YNHHSC)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273951</v>
      </c>
      <c r="D11" s="376">
        <v>55371</v>
      </c>
      <c r="E11" s="376">
        <v>52891</v>
      </c>
      <c r="F11" s="377">
        <v>915</v>
      </c>
      <c r="G11" s="377">
        <v>968</v>
      </c>
      <c r="H11" s="378">
        <f>IF(F11=0,0,$C11/(F11*365))</f>
        <v>0.82027397260273971</v>
      </c>
      <c r="I11" s="378">
        <f>IF(G11=0,0,$C11/(G11*365))</f>
        <v>0.77536227782180456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39404</v>
      </c>
      <c r="D13" s="376">
        <v>5952</v>
      </c>
      <c r="E13" s="376">
        <v>0</v>
      </c>
      <c r="F13" s="377">
        <v>169</v>
      </c>
      <c r="G13" s="377">
        <v>174</v>
      </c>
      <c r="H13" s="378">
        <f>IF(F13=0,0,$C13/(F13*365))</f>
        <v>0.63879387209208072</v>
      </c>
      <c r="I13" s="378">
        <f>IF(G13=0,0,$C13/(G13*365))</f>
        <v>0.62043772634230832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10646</v>
      </c>
      <c r="D15" s="376">
        <v>1103</v>
      </c>
      <c r="E15" s="376">
        <v>1084</v>
      </c>
      <c r="F15" s="377">
        <v>39</v>
      </c>
      <c r="G15" s="377">
        <v>39</v>
      </c>
      <c r="H15" s="378">
        <f t="shared" ref="H15:I17" si="0">IF(F15=0,0,$C15/(F15*365))</f>
        <v>0.74787495609413412</v>
      </c>
      <c r="I15" s="378">
        <f t="shared" si="0"/>
        <v>0.74787495609413412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36402</v>
      </c>
      <c r="D16" s="376">
        <v>3195</v>
      </c>
      <c r="E16" s="376">
        <v>3208</v>
      </c>
      <c r="F16" s="377">
        <v>100</v>
      </c>
      <c r="G16" s="377">
        <v>100</v>
      </c>
      <c r="H16" s="378">
        <f t="shared" si="0"/>
        <v>0.99731506849315066</v>
      </c>
      <c r="I16" s="378">
        <f t="shared" si="0"/>
        <v>0.99731506849315066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47048</v>
      </c>
      <c r="D17" s="381">
        <f>SUM(D15:D16)</f>
        <v>4298</v>
      </c>
      <c r="E17" s="381">
        <f>SUM(E15:E16)</f>
        <v>4292</v>
      </c>
      <c r="F17" s="381">
        <f>SUM(F15:F16)</f>
        <v>139</v>
      </c>
      <c r="G17" s="381">
        <f>SUM(G15:G16)</f>
        <v>139</v>
      </c>
      <c r="H17" s="382">
        <f t="shared" si="0"/>
        <v>0.92732827436680787</v>
      </c>
      <c r="I17" s="382">
        <f t="shared" si="0"/>
        <v>0.92732827436680787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5666</v>
      </c>
      <c r="D19" s="376">
        <v>410</v>
      </c>
      <c r="E19" s="376">
        <v>415</v>
      </c>
      <c r="F19" s="377">
        <v>24</v>
      </c>
      <c r="G19" s="377">
        <v>24</v>
      </c>
      <c r="H19" s="378">
        <f>IF(F19=0,0,$C19/(F19*365))</f>
        <v>0.64680365296803655</v>
      </c>
      <c r="I19" s="378">
        <f>IF(G19=0,0,$C19/(G19*365))</f>
        <v>0.64680365296803655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19240</v>
      </c>
      <c r="D21" s="376">
        <v>6057</v>
      </c>
      <c r="E21" s="376">
        <v>5202</v>
      </c>
      <c r="F21" s="377">
        <v>66</v>
      </c>
      <c r="G21" s="377">
        <v>67</v>
      </c>
      <c r="H21" s="378">
        <f>IF(F21=0,0,$C21/(F21*365))</f>
        <v>0.79867164798671653</v>
      </c>
      <c r="I21" s="378">
        <f>IF(G21=0,0,$C21/(G21*365))</f>
        <v>0.78675117562870578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12230</v>
      </c>
      <c r="D23" s="376">
        <v>5934</v>
      </c>
      <c r="E23" s="376">
        <v>5289</v>
      </c>
      <c r="F23" s="377">
        <v>50</v>
      </c>
      <c r="G23" s="377">
        <v>50</v>
      </c>
      <c r="H23" s="378">
        <f>IF(F23=0,0,$C23/(F23*365))</f>
        <v>0.67013698630136986</v>
      </c>
      <c r="I23" s="378">
        <f>IF(G23=0,0,$C23/(G23*365))</f>
        <v>0.67013698630136986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19947</v>
      </c>
      <c r="D25" s="376">
        <v>1121</v>
      </c>
      <c r="E25" s="376">
        <v>0</v>
      </c>
      <c r="F25" s="377">
        <v>81</v>
      </c>
      <c r="G25" s="377">
        <v>81</v>
      </c>
      <c r="H25" s="378">
        <f>IF(F25=0,0,$C25/(F25*365))</f>
        <v>0.67468290208016235</v>
      </c>
      <c r="I25" s="378">
        <f>IF(G25=0,0,$C25/(G25*365))</f>
        <v>0.67468290208016235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20088</v>
      </c>
      <c r="D27" s="376">
        <v>6299</v>
      </c>
      <c r="E27" s="376">
        <v>6993</v>
      </c>
      <c r="F27" s="377">
        <v>89</v>
      </c>
      <c r="G27" s="377">
        <v>91</v>
      </c>
      <c r="H27" s="378">
        <f>IF(F27=0,0,$C27/(F27*365))</f>
        <v>0.61837771279051867</v>
      </c>
      <c r="I27" s="378">
        <f>IF(G27=0,0,$C27/(G27*365))</f>
        <v>0.60478699382808976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425344</v>
      </c>
      <c r="D31" s="384">
        <f>SUM(D10:D29)-D13-D17-D23</f>
        <v>73556</v>
      </c>
      <c r="E31" s="384">
        <f>SUM(E10:E29)-E17-E23</f>
        <v>69793</v>
      </c>
      <c r="F31" s="384">
        <f>SUM(F10:F29)-F17-F23</f>
        <v>1483</v>
      </c>
      <c r="G31" s="384">
        <f>SUM(G10:G29)-G17-G23</f>
        <v>1544</v>
      </c>
      <c r="H31" s="385">
        <f>IF(F31=0,0,$C31/(F31*365))</f>
        <v>0.78578963411817959</v>
      </c>
      <c r="I31" s="385">
        <f>IF(G31=0,0,$C31/(G31*365))</f>
        <v>0.75474483639718926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437574</v>
      </c>
      <c r="D33" s="384">
        <f>SUM(D10:D29)-D13-D17</f>
        <v>79490</v>
      </c>
      <c r="E33" s="384">
        <f>SUM(E10:E29)-E17</f>
        <v>75082</v>
      </c>
      <c r="F33" s="384">
        <f>SUM(F10:F29)-F17</f>
        <v>1533</v>
      </c>
      <c r="G33" s="384">
        <f>SUM(G10:G29)-G17</f>
        <v>1594</v>
      </c>
      <c r="H33" s="385">
        <f>IF(F33=0,0,$C33/(F33*365))</f>
        <v>0.78201753210197567</v>
      </c>
      <c r="I33" s="385">
        <f>IF(G33=0,0,$C33/(G33*365))</f>
        <v>0.75209088877812347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437574</v>
      </c>
      <c r="D36" s="384">
        <f t="shared" si="1"/>
        <v>79490</v>
      </c>
      <c r="E36" s="384">
        <f t="shared" si="1"/>
        <v>75082</v>
      </c>
      <c r="F36" s="384">
        <f t="shared" si="1"/>
        <v>1533</v>
      </c>
      <c r="G36" s="384">
        <f t="shared" si="1"/>
        <v>1594</v>
      </c>
      <c r="H36" s="387">
        <f t="shared" si="1"/>
        <v>0.78201753210197567</v>
      </c>
      <c r="I36" s="387">
        <f t="shared" si="1"/>
        <v>0.75209088877812347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428640</v>
      </c>
      <c r="D37" s="384">
        <v>78452</v>
      </c>
      <c r="E37" s="384">
        <v>74156</v>
      </c>
      <c r="F37" s="386">
        <v>1425</v>
      </c>
      <c r="G37" s="386">
        <v>1522</v>
      </c>
      <c r="H37" s="385">
        <f>IF(F37=0,0,$C37/(F37*365))</f>
        <v>0.82410958904109588</v>
      </c>
      <c r="I37" s="385">
        <f>IF(G37=0,0,$C37/(G37*365))</f>
        <v>0.77158749302467911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8934</v>
      </c>
      <c r="D38" s="384">
        <f t="shared" si="2"/>
        <v>1038</v>
      </c>
      <c r="E38" s="384">
        <f t="shared" si="2"/>
        <v>926</v>
      </c>
      <c r="F38" s="384">
        <f t="shared" si="2"/>
        <v>108</v>
      </c>
      <c r="G38" s="384">
        <f t="shared" si="2"/>
        <v>72</v>
      </c>
      <c r="H38" s="387">
        <f t="shared" si="2"/>
        <v>-4.2092056939120215E-2</v>
      </c>
      <c r="I38" s="387">
        <f t="shared" si="2"/>
        <v>-1.9496604246555638E-2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2.0842665173572229E-2</v>
      </c>
      <c r="D40" s="389">
        <f t="shared" si="3"/>
        <v>1.3231020241676439E-2</v>
      </c>
      <c r="E40" s="389">
        <f t="shared" si="3"/>
        <v>1.248718916877933E-2</v>
      </c>
      <c r="F40" s="389">
        <f t="shared" si="3"/>
        <v>7.5789473684210532E-2</v>
      </c>
      <c r="G40" s="389">
        <f t="shared" si="3"/>
        <v>4.7306176084099871E-2</v>
      </c>
      <c r="H40" s="389">
        <f t="shared" si="3"/>
        <v>-5.1075800474663827E-2</v>
      </c>
      <c r="I40" s="389">
        <f t="shared" si="3"/>
        <v>-2.5268170392611641E-2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1541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FILING&amp;RYALE-NEW HAVEN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43743</v>
      </c>
      <c r="D12" s="409">
        <v>44891</v>
      </c>
      <c r="E12" s="409">
        <f>+D12-C12</f>
        <v>1148</v>
      </c>
      <c r="F12" s="410">
        <f>IF(C12=0,0,+E12/C12)</f>
        <v>2.6244199071851496E-2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48811</v>
      </c>
      <c r="D13" s="409">
        <v>49141</v>
      </c>
      <c r="E13" s="409">
        <f>+D13-C13</f>
        <v>330</v>
      </c>
      <c r="F13" s="410">
        <f>IF(C13=0,0,+E13/C13)</f>
        <v>6.7607711376533978E-3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23183</v>
      </c>
      <c r="D14" s="409">
        <v>25149</v>
      </c>
      <c r="E14" s="409">
        <f>+D14-C14</f>
        <v>1966</v>
      </c>
      <c r="F14" s="410">
        <f>IF(C14=0,0,+E14/C14)</f>
        <v>8.4803519820558171E-2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115737</v>
      </c>
      <c r="D16" s="401">
        <f>SUM(D12:D15)</f>
        <v>119181</v>
      </c>
      <c r="E16" s="401">
        <f>+D16-C16</f>
        <v>3444</v>
      </c>
      <c r="F16" s="402">
        <f>IF(C16=0,0,+E16/C16)</f>
        <v>2.9757121750174965E-2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12562</v>
      </c>
      <c r="D19" s="409">
        <v>12959</v>
      </c>
      <c r="E19" s="409">
        <f>+D19-C19</f>
        <v>397</v>
      </c>
      <c r="F19" s="410">
        <f>IF(C19=0,0,+E19/C19)</f>
        <v>3.1603247890463301E-2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38954</v>
      </c>
      <c r="D20" s="409">
        <v>40072</v>
      </c>
      <c r="E20" s="409">
        <f>+D20-C20</f>
        <v>1118</v>
      </c>
      <c r="F20" s="410">
        <f>IF(C20=0,0,+E20/C20)</f>
        <v>2.8700518560353237E-2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1126</v>
      </c>
      <c r="D21" s="409">
        <v>1183</v>
      </c>
      <c r="E21" s="409">
        <f>+D21-C21</f>
        <v>57</v>
      </c>
      <c r="F21" s="410">
        <f>IF(C21=0,0,+E21/C21)</f>
        <v>5.0621669626998225E-2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52642</v>
      </c>
      <c r="D23" s="401">
        <f>SUM(D19:D22)</f>
        <v>54214</v>
      </c>
      <c r="E23" s="401">
        <f>+D23-C23</f>
        <v>1572</v>
      </c>
      <c r="F23" s="402">
        <f>IF(C23=0,0,+E23/C23)</f>
        <v>2.9862087306713272E-2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134</v>
      </c>
      <c r="D26" s="409">
        <v>103</v>
      </c>
      <c r="E26" s="409">
        <f>+D26-C26</f>
        <v>-31</v>
      </c>
      <c r="F26" s="410">
        <f>IF(C26=0,0,+E26/C26)</f>
        <v>-0.23134328358208955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697</v>
      </c>
      <c r="D27" s="409">
        <v>722</v>
      </c>
      <c r="E27" s="409">
        <f>+D27-C27</f>
        <v>25</v>
      </c>
      <c r="F27" s="410">
        <f>IF(C27=0,0,+E27/C27)</f>
        <v>3.5868005738880916E-2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1</v>
      </c>
      <c r="D28" s="409">
        <v>0</v>
      </c>
      <c r="E28" s="409">
        <f>+D28-C28</f>
        <v>-1</v>
      </c>
      <c r="F28" s="410">
        <f>IF(C28=0,0,+E28/C28)</f>
        <v>-1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832</v>
      </c>
      <c r="D30" s="401">
        <f>SUM(D26:D29)</f>
        <v>825</v>
      </c>
      <c r="E30" s="401">
        <f>+D30-C30</f>
        <v>-7</v>
      </c>
      <c r="F30" s="402">
        <f>IF(C30=0,0,+E30/C30)</f>
        <v>-8.4134615384615381E-3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109</v>
      </c>
      <c r="D33" s="409">
        <v>110</v>
      </c>
      <c r="E33" s="409">
        <f>+D33-C33</f>
        <v>1</v>
      </c>
      <c r="F33" s="410">
        <f>IF(C33=0,0,+E33/C33)</f>
        <v>9.1743119266055051E-3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3371</v>
      </c>
      <c r="D34" s="409">
        <v>3634</v>
      </c>
      <c r="E34" s="409">
        <f>+D34-C34</f>
        <v>263</v>
      </c>
      <c r="F34" s="410">
        <f>IF(C34=0,0,+E34/C34)</f>
        <v>7.8018392168496001E-2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4</v>
      </c>
      <c r="D35" s="409">
        <v>4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3484</v>
      </c>
      <c r="D37" s="401">
        <f>SUM(D33:D36)</f>
        <v>3748</v>
      </c>
      <c r="E37" s="401">
        <f>+D37-C37</f>
        <v>264</v>
      </c>
      <c r="F37" s="402">
        <f>IF(C37=0,0,+E37/C37)</f>
        <v>7.5774971297359356E-2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2501</v>
      </c>
      <c r="D43" s="409">
        <v>2466</v>
      </c>
      <c r="E43" s="409">
        <f>+D43-C43</f>
        <v>-35</v>
      </c>
      <c r="F43" s="410">
        <f>IF(C43=0,0,+E43/C43)</f>
        <v>-1.3994402239104359E-2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43711</v>
      </c>
      <c r="D44" s="409">
        <v>41599</v>
      </c>
      <c r="E44" s="409">
        <f>+D44-C44</f>
        <v>-2112</v>
      </c>
      <c r="F44" s="410">
        <f>IF(C44=0,0,+E44/C44)</f>
        <v>-4.8317357186978105E-2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46212</v>
      </c>
      <c r="D45" s="401">
        <f>SUM(D43:D44)</f>
        <v>44065</v>
      </c>
      <c r="E45" s="401">
        <f>+D45-C45</f>
        <v>-2147</v>
      </c>
      <c r="F45" s="402">
        <f>IF(C45=0,0,+E45/C45)</f>
        <v>-4.6459793992902274E-2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3396</v>
      </c>
      <c r="D48" s="409">
        <v>3351</v>
      </c>
      <c r="E48" s="409">
        <f>+D48-C48</f>
        <v>-45</v>
      </c>
      <c r="F48" s="410">
        <f>IF(C48=0,0,+E48/C48)</f>
        <v>-1.3250883392226149E-2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2594</v>
      </c>
      <c r="D49" s="409">
        <v>2288</v>
      </c>
      <c r="E49" s="409">
        <f>+D49-C49</f>
        <v>-306</v>
      </c>
      <c r="F49" s="410">
        <f>IF(C49=0,0,+E49/C49)</f>
        <v>-0.117964533538936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5990</v>
      </c>
      <c r="D50" s="401">
        <f>SUM(D48:D49)</f>
        <v>5639</v>
      </c>
      <c r="E50" s="401">
        <f>+D50-C50</f>
        <v>-351</v>
      </c>
      <c r="F50" s="402">
        <f>IF(C50=0,0,+E50/C50)</f>
        <v>-5.8597662771285475E-2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88</v>
      </c>
      <c r="D53" s="409">
        <v>72</v>
      </c>
      <c r="E53" s="409">
        <f>+D53-C53</f>
        <v>-16</v>
      </c>
      <c r="F53" s="410">
        <f>IF(C53=0,0,+E53/C53)</f>
        <v>-0.18181818181818182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154</v>
      </c>
      <c r="D54" s="409">
        <v>137</v>
      </c>
      <c r="E54" s="409">
        <f>+D54-C54</f>
        <v>-17</v>
      </c>
      <c r="F54" s="410">
        <f>IF(C54=0,0,+E54/C54)</f>
        <v>-0.11038961038961038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242</v>
      </c>
      <c r="D55" s="401">
        <f>SUM(D53:D54)</f>
        <v>209</v>
      </c>
      <c r="E55" s="401">
        <f>+D55-C55</f>
        <v>-33</v>
      </c>
      <c r="F55" s="402">
        <f>IF(C55=0,0,+E55/C55)</f>
        <v>-0.13636363636363635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1440</v>
      </c>
      <c r="D58" s="409">
        <v>1295</v>
      </c>
      <c r="E58" s="409">
        <f>+D58-C58</f>
        <v>-145</v>
      </c>
      <c r="F58" s="410">
        <f>IF(C58=0,0,+E58/C58)</f>
        <v>-0.10069444444444445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1284</v>
      </c>
      <c r="D59" s="409">
        <v>1306</v>
      </c>
      <c r="E59" s="409">
        <f>+D59-C59</f>
        <v>22</v>
      </c>
      <c r="F59" s="410">
        <f>IF(C59=0,0,+E59/C59)</f>
        <v>1.7133956386292833E-2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2724</v>
      </c>
      <c r="D60" s="401">
        <f>SUM(D58:D59)</f>
        <v>2601</v>
      </c>
      <c r="E60" s="401">
        <f>SUM(E58:E59)</f>
        <v>-123</v>
      </c>
      <c r="F60" s="402">
        <f>IF(C60=0,0,+E60/C60)</f>
        <v>-4.5154185022026429E-2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19638</v>
      </c>
      <c r="D63" s="409">
        <v>17851</v>
      </c>
      <c r="E63" s="409">
        <f>+D63-C63</f>
        <v>-1787</v>
      </c>
      <c r="F63" s="410">
        <f>IF(C63=0,0,+E63/C63)</f>
        <v>-9.0997046542417762E-2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28722</v>
      </c>
      <c r="D64" s="409">
        <v>29380</v>
      </c>
      <c r="E64" s="409">
        <f>+D64-C64</f>
        <v>658</v>
      </c>
      <c r="F64" s="410">
        <f>IF(C64=0,0,+E64/C64)</f>
        <v>2.2909268156813593E-2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48360</v>
      </c>
      <c r="D65" s="401">
        <f>SUM(D63:D64)</f>
        <v>47231</v>
      </c>
      <c r="E65" s="401">
        <f>+D65-C65</f>
        <v>-1129</v>
      </c>
      <c r="F65" s="402">
        <f>IF(C65=0,0,+E65/C65)</f>
        <v>-2.3345740281224152E-2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807</v>
      </c>
      <c r="D68" s="409">
        <v>838</v>
      </c>
      <c r="E68" s="409">
        <f>+D68-C68</f>
        <v>31</v>
      </c>
      <c r="F68" s="410">
        <f>IF(C68=0,0,+E68/C68)</f>
        <v>3.8413878562577448E-2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7236</v>
      </c>
      <c r="D69" s="409">
        <v>7374</v>
      </c>
      <c r="E69" s="409">
        <f>+D69-C69</f>
        <v>138</v>
      </c>
      <c r="F69" s="412">
        <f>IF(C69=0,0,+E69/C69)</f>
        <v>1.9071310116086235E-2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8043</v>
      </c>
      <c r="D70" s="401">
        <f>SUM(D68:D69)</f>
        <v>8212</v>
      </c>
      <c r="E70" s="401">
        <f>+D70-C70</f>
        <v>169</v>
      </c>
      <c r="F70" s="402">
        <f>IF(C70=0,0,+E70/C70)</f>
        <v>2.1012060176551037E-2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54844</v>
      </c>
      <c r="D73" s="376">
        <v>59825</v>
      </c>
      <c r="E73" s="409">
        <f>+D73-C73</f>
        <v>4981</v>
      </c>
      <c r="F73" s="410">
        <f>IF(C73=0,0,+E73/C73)</f>
        <v>9.0821238421705197E-2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152499</v>
      </c>
      <c r="D74" s="376">
        <v>152727</v>
      </c>
      <c r="E74" s="409">
        <f>+D74-C74</f>
        <v>228</v>
      </c>
      <c r="F74" s="410">
        <f>IF(C74=0,0,+E74/C74)</f>
        <v>1.495091771093581E-3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207343</v>
      </c>
      <c r="D75" s="401">
        <f>SUM(D73:D74)</f>
        <v>212552</v>
      </c>
      <c r="E75" s="401">
        <f>SUM(E73:E74)</f>
        <v>5209</v>
      </c>
      <c r="F75" s="402">
        <f>IF(C75=0,0,+E75/C75)</f>
        <v>2.5122622900218477E-2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36026</v>
      </c>
      <c r="D80" s="376">
        <v>35259</v>
      </c>
      <c r="E80" s="409">
        <f t="shared" si="0"/>
        <v>-767</v>
      </c>
      <c r="F80" s="410">
        <f t="shared" si="1"/>
        <v>-2.1290179314939209E-2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806</v>
      </c>
      <c r="D81" s="376">
        <v>894</v>
      </c>
      <c r="E81" s="409">
        <f t="shared" si="0"/>
        <v>88</v>
      </c>
      <c r="F81" s="410">
        <f t="shared" si="1"/>
        <v>0.10918114143920596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30869</v>
      </c>
      <c r="D83" s="376">
        <v>30032</v>
      </c>
      <c r="E83" s="409">
        <f t="shared" si="0"/>
        <v>-837</v>
      </c>
      <c r="F83" s="410">
        <f t="shared" si="1"/>
        <v>-2.7114580971200883E-2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12243</v>
      </c>
      <c r="D84" s="376">
        <v>3885</v>
      </c>
      <c r="E84" s="409">
        <f t="shared" si="0"/>
        <v>-8358</v>
      </c>
      <c r="F84" s="410">
        <f t="shared" si="1"/>
        <v>-0.68267581475128647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47633</v>
      </c>
      <c r="D86" s="376">
        <v>47765</v>
      </c>
      <c r="E86" s="409">
        <f t="shared" si="0"/>
        <v>132</v>
      </c>
      <c r="F86" s="410">
        <f t="shared" si="1"/>
        <v>2.7711880419037222E-3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57624</v>
      </c>
      <c r="D88" s="376">
        <v>63983</v>
      </c>
      <c r="E88" s="409">
        <f t="shared" si="0"/>
        <v>6359</v>
      </c>
      <c r="F88" s="410">
        <f t="shared" si="1"/>
        <v>0.11035332500347078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2344</v>
      </c>
      <c r="D89" s="376">
        <v>3448</v>
      </c>
      <c r="E89" s="409">
        <f t="shared" si="0"/>
        <v>1104</v>
      </c>
      <c r="F89" s="410">
        <f t="shared" si="1"/>
        <v>0.47098976109215018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3998</v>
      </c>
      <c r="D90" s="376">
        <v>3577</v>
      </c>
      <c r="E90" s="409">
        <f t="shared" si="0"/>
        <v>-421</v>
      </c>
      <c r="F90" s="410">
        <f t="shared" si="1"/>
        <v>-0.10530265132566283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295584</v>
      </c>
      <c r="D91" s="376">
        <v>356490</v>
      </c>
      <c r="E91" s="409">
        <f t="shared" si="0"/>
        <v>60906</v>
      </c>
      <c r="F91" s="410">
        <f t="shared" si="1"/>
        <v>0.20605310165638194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487127</v>
      </c>
      <c r="D92" s="381">
        <f>SUM(D79:D91)</f>
        <v>545333</v>
      </c>
      <c r="E92" s="401">
        <f t="shared" si="0"/>
        <v>58206</v>
      </c>
      <c r="F92" s="402">
        <f t="shared" si="1"/>
        <v>0.11948834698138268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98699</v>
      </c>
      <c r="D95" s="414">
        <v>99774</v>
      </c>
      <c r="E95" s="415">
        <f t="shared" ref="E95:E100" si="2">+D95-C95</f>
        <v>1075</v>
      </c>
      <c r="F95" s="412">
        <f t="shared" ref="F95:F100" si="3">IF(C95=0,0,+E95/C95)</f>
        <v>1.0891701030405576E-2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9844</v>
      </c>
      <c r="D96" s="414">
        <v>11776</v>
      </c>
      <c r="E96" s="409">
        <f t="shared" si="2"/>
        <v>1932</v>
      </c>
      <c r="F96" s="410">
        <f t="shared" si="3"/>
        <v>0.19626168224299065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106160</v>
      </c>
      <c r="D97" s="414">
        <v>110194</v>
      </c>
      <c r="E97" s="409">
        <f t="shared" si="2"/>
        <v>4034</v>
      </c>
      <c r="F97" s="410">
        <f t="shared" si="3"/>
        <v>3.799924642049736E-2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16576</v>
      </c>
      <c r="D98" s="414">
        <v>16837</v>
      </c>
      <c r="E98" s="409">
        <f t="shared" si="2"/>
        <v>261</v>
      </c>
      <c r="F98" s="410">
        <f t="shared" si="3"/>
        <v>1.574565637065637E-2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411634</v>
      </c>
      <c r="D99" s="414">
        <v>397676</v>
      </c>
      <c r="E99" s="409">
        <f t="shared" si="2"/>
        <v>-13958</v>
      </c>
      <c r="F99" s="410">
        <f t="shared" si="3"/>
        <v>-3.3908763610391753E-2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642913</v>
      </c>
      <c r="D100" s="381">
        <f>SUM(D95:D99)</f>
        <v>636257</v>
      </c>
      <c r="E100" s="401">
        <f t="shared" si="2"/>
        <v>-6656</v>
      </c>
      <c r="F100" s="402">
        <f t="shared" si="3"/>
        <v>-1.0352878227691771E-2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4892</v>
      </c>
      <c r="D104" s="416">
        <v>4435.8999999999996</v>
      </c>
      <c r="E104" s="417">
        <f>+D104-C104</f>
        <v>-456.10000000000036</v>
      </c>
      <c r="F104" s="410">
        <f>IF(C104=0,0,+E104/C104)</f>
        <v>-9.3233851185609229E-2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0</v>
      </c>
      <c r="D105" s="416">
        <v>0</v>
      </c>
      <c r="E105" s="417">
        <f>+D105-C105</f>
        <v>0</v>
      </c>
      <c r="F105" s="410">
        <f>IF(C105=0,0,+E105/C105)</f>
        <v>0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5801.5</v>
      </c>
      <c r="D106" s="416">
        <v>6388.8</v>
      </c>
      <c r="E106" s="417">
        <f>+D106-C106</f>
        <v>587.30000000000018</v>
      </c>
      <c r="F106" s="410">
        <f>IF(C106=0,0,+E106/C106)</f>
        <v>0.10123243988623636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10693.5</v>
      </c>
      <c r="D107" s="418">
        <f>SUM(D104:D106)</f>
        <v>10824.7</v>
      </c>
      <c r="E107" s="418">
        <f>+D107-C107</f>
        <v>131.20000000000073</v>
      </c>
      <c r="F107" s="402">
        <f>IF(C107=0,0,+E107/C107)</f>
        <v>1.226913545611827E-2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FILING&amp;RYALE-NEW HAVEN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6730</v>
      </c>
      <c r="D12" s="409">
        <v>6943</v>
      </c>
      <c r="E12" s="409">
        <f>+D12-C12</f>
        <v>213</v>
      </c>
      <c r="F12" s="410">
        <f>IF(C12=0,0,+E12/C12)</f>
        <v>3.1649331352154531E-2</v>
      </c>
    </row>
    <row r="13" spans="1:6" ht="15.75" customHeight="1" x14ac:dyDescent="0.2">
      <c r="A13" s="374">
        <v>2</v>
      </c>
      <c r="B13" s="408" t="s">
        <v>622</v>
      </c>
      <c r="C13" s="409">
        <v>4900</v>
      </c>
      <c r="D13" s="409">
        <v>4396</v>
      </c>
      <c r="E13" s="409">
        <f>+D13-C13</f>
        <v>-504</v>
      </c>
      <c r="F13" s="410">
        <f>IF(C13=0,0,+E13/C13)</f>
        <v>-0.10285714285714286</v>
      </c>
    </row>
    <row r="14" spans="1:6" ht="15.75" customHeight="1" x14ac:dyDescent="0.2">
      <c r="A14" s="374">
        <v>3</v>
      </c>
      <c r="B14" s="408" t="s">
        <v>623</v>
      </c>
      <c r="C14" s="409">
        <v>17092</v>
      </c>
      <c r="D14" s="409">
        <v>18041</v>
      </c>
      <c r="E14" s="409">
        <f>+D14-C14</f>
        <v>949</v>
      </c>
      <c r="F14" s="410">
        <f>IF(C14=0,0,+E14/C14)</f>
        <v>5.5523051720102974E-2</v>
      </c>
    </row>
    <row r="15" spans="1:6" ht="15.75" customHeight="1" x14ac:dyDescent="0.25">
      <c r="A15" s="374"/>
      <c r="B15" s="399" t="s">
        <v>624</v>
      </c>
      <c r="C15" s="401">
        <f>SUM(C11:C14)</f>
        <v>28722</v>
      </c>
      <c r="D15" s="401">
        <f>SUM(D11:D14)</f>
        <v>29380</v>
      </c>
      <c r="E15" s="401">
        <f>+D15-C15</f>
        <v>658</v>
      </c>
      <c r="F15" s="402">
        <f>IF(C15=0,0,+E15/C15)</f>
        <v>2.2909268156813593E-2</v>
      </c>
    </row>
    <row r="16" spans="1:6" ht="15.75" customHeight="1" x14ac:dyDescent="0.25">
      <c r="A16" s="136"/>
      <c r="B16" s="399"/>
      <c r="C16" s="401"/>
      <c r="D16" s="401"/>
      <c r="E16" s="401"/>
      <c r="F16" s="402"/>
    </row>
    <row r="17" spans="1:6" ht="15.75" customHeight="1" x14ac:dyDescent="0.25">
      <c r="A17" s="136" t="s">
        <v>26</v>
      </c>
      <c r="B17" s="406" t="s">
        <v>588</v>
      </c>
      <c r="C17" s="409"/>
      <c r="D17" s="409"/>
      <c r="E17" s="409"/>
      <c r="F17" s="410"/>
    </row>
    <row r="18" spans="1:6" ht="15.75" customHeight="1" x14ac:dyDescent="0.2">
      <c r="A18" s="374">
        <v>1</v>
      </c>
      <c r="B18" s="408" t="s">
        <v>621</v>
      </c>
      <c r="C18" s="409">
        <v>2386</v>
      </c>
      <c r="D18" s="409">
        <v>2710</v>
      </c>
      <c r="E18" s="409">
        <f>+D18-C18</f>
        <v>324</v>
      </c>
      <c r="F18" s="410">
        <f>IF(C18=0,0,+E18/C18)</f>
        <v>0.13579212070410729</v>
      </c>
    </row>
    <row r="19" spans="1:6" ht="15.75" customHeight="1" x14ac:dyDescent="0.2">
      <c r="A19" s="374">
        <v>2</v>
      </c>
      <c r="B19" s="408" t="s">
        <v>622</v>
      </c>
      <c r="C19" s="409">
        <v>3619</v>
      </c>
      <c r="D19" s="409">
        <v>3344</v>
      </c>
      <c r="E19" s="409">
        <f>+D19-C19</f>
        <v>-275</v>
      </c>
      <c r="F19" s="410">
        <f>IF(C19=0,0,+E19/C19)</f>
        <v>-7.598784194528875E-2</v>
      </c>
    </row>
    <row r="20" spans="1:6" ht="15.75" customHeight="1" x14ac:dyDescent="0.2">
      <c r="A20" s="374">
        <v>3</v>
      </c>
      <c r="B20" s="408" t="s">
        <v>623</v>
      </c>
      <c r="C20" s="409">
        <v>1231</v>
      </c>
      <c r="D20" s="409">
        <v>1320</v>
      </c>
      <c r="E20" s="409">
        <f>+D20-C20</f>
        <v>89</v>
      </c>
      <c r="F20" s="410">
        <f>IF(C20=0,0,+E20/C20)</f>
        <v>7.2298943948009745E-2</v>
      </c>
    </row>
    <row r="21" spans="1:6" ht="15.75" customHeight="1" x14ac:dyDescent="0.25">
      <c r="A21" s="374"/>
      <c r="B21" s="399" t="s">
        <v>625</v>
      </c>
      <c r="C21" s="401">
        <f>SUM(C17:C20)</f>
        <v>7236</v>
      </c>
      <c r="D21" s="401">
        <f>SUM(D17:D20)</f>
        <v>7374</v>
      </c>
      <c r="E21" s="401">
        <f>+D21-C21</f>
        <v>138</v>
      </c>
      <c r="F21" s="402">
        <f>IF(C21=0,0,+E21/C21)</f>
        <v>1.9071310116086235E-2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A23" s="136" t="s">
        <v>36</v>
      </c>
      <c r="B23" s="406" t="s">
        <v>626</v>
      </c>
      <c r="C23" s="409"/>
      <c r="D23" s="409"/>
      <c r="E23" s="409"/>
      <c r="F23" s="410"/>
    </row>
    <row r="24" spans="1:6" ht="15.75" customHeight="1" x14ac:dyDescent="0.2">
      <c r="A24" s="374">
        <v>1</v>
      </c>
      <c r="B24" s="408" t="s">
        <v>627</v>
      </c>
      <c r="C24" s="409">
        <v>0</v>
      </c>
      <c r="D24" s="409">
        <v>0</v>
      </c>
      <c r="E24" s="409">
        <f>+D24-C24</f>
        <v>0</v>
      </c>
      <c r="F24" s="410">
        <f>IF(C24=0,0,+E24/C24)</f>
        <v>0</v>
      </c>
    </row>
    <row r="25" spans="1:6" ht="15.75" customHeight="1" x14ac:dyDescent="0.2">
      <c r="A25" s="374">
        <v>2</v>
      </c>
      <c r="B25" s="408" t="s">
        <v>628</v>
      </c>
      <c r="C25" s="409">
        <v>20253</v>
      </c>
      <c r="D25" s="409">
        <v>20744</v>
      </c>
      <c r="E25" s="409">
        <f>+D25-C25</f>
        <v>491</v>
      </c>
      <c r="F25" s="410">
        <f>IF(C25=0,0,+E25/C25)</f>
        <v>2.4243321976991063E-2</v>
      </c>
    </row>
    <row r="26" spans="1:6" ht="15.75" customHeight="1" x14ac:dyDescent="0.2">
      <c r="A26" s="374">
        <v>3</v>
      </c>
      <c r="B26" s="408" t="s">
        <v>621</v>
      </c>
      <c r="C26" s="409">
        <v>39266</v>
      </c>
      <c r="D26" s="409">
        <v>38798</v>
      </c>
      <c r="E26" s="409">
        <f>+D26-C26</f>
        <v>-468</v>
      </c>
      <c r="F26" s="410">
        <f>IF(C26=0,0,+E26/C26)</f>
        <v>-1.1918708297254622E-2</v>
      </c>
    </row>
    <row r="27" spans="1:6" ht="15.75" customHeight="1" x14ac:dyDescent="0.2">
      <c r="A27" s="374">
        <v>4</v>
      </c>
      <c r="B27" s="408" t="s">
        <v>623</v>
      </c>
      <c r="C27" s="409">
        <v>92980</v>
      </c>
      <c r="D27" s="409">
        <v>93185</v>
      </c>
      <c r="E27" s="409">
        <f>+D27-C27</f>
        <v>205</v>
      </c>
      <c r="F27" s="410">
        <f>IF(C27=0,0,+E27/C27)</f>
        <v>2.2047752204775221E-3</v>
      </c>
    </row>
    <row r="28" spans="1:6" ht="15.75" customHeight="1" x14ac:dyDescent="0.25">
      <c r="A28" s="374"/>
      <c r="B28" s="399" t="s">
        <v>629</v>
      </c>
      <c r="C28" s="401">
        <f>SUM(C23:C27)</f>
        <v>152499</v>
      </c>
      <c r="D28" s="401">
        <f>SUM(D23:D27)</f>
        <v>152727</v>
      </c>
      <c r="E28" s="401">
        <f>+D28-C28</f>
        <v>228</v>
      </c>
      <c r="F28" s="402">
        <f>IF(C28=0,0,+E28/C28)</f>
        <v>1.495091771093581E-3</v>
      </c>
    </row>
    <row r="29" spans="1:6" ht="15.75" customHeight="1" x14ac:dyDescent="0.25">
      <c r="A29" s="136"/>
      <c r="B29" s="399"/>
      <c r="C29" s="401"/>
      <c r="D29" s="401"/>
      <c r="E29" s="401"/>
      <c r="F29" s="402"/>
    </row>
    <row r="30" spans="1:6" ht="15.75" customHeight="1" x14ac:dyDescent="0.25">
      <c r="B30" s="810" t="s">
        <v>630</v>
      </c>
      <c r="C30" s="811"/>
      <c r="D30" s="811"/>
      <c r="E30" s="811"/>
      <c r="F30" s="812"/>
    </row>
    <row r="31" spans="1:6" ht="15.75" customHeight="1" x14ac:dyDescent="0.25">
      <c r="A31" s="392"/>
    </row>
    <row r="32" spans="1:6" ht="15.75" customHeight="1" x14ac:dyDescent="0.25">
      <c r="B32" s="810" t="s">
        <v>631</v>
      </c>
      <c r="C32" s="811"/>
      <c r="D32" s="811"/>
      <c r="E32" s="811"/>
      <c r="F32" s="812"/>
    </row>
    <row r="33" spans="1:6" ht="15.75" customHeight="1" x14ac:dyDescent="0.25">
      <c r="A33" s="392"/>
    </row>
    <row r="34" spans="1:6" ht="15.75" customHeight="1" x14ac:dyDescent="0.25">
      <c r="B34" s="810" t="s">
        <v>632</v>
      </c>
      <c r="C34" s="811"/>
      <c r="D34" s="811"/>
      <c r="E34" s="811"/>
      <c r="F34" s="812"/>
    </row>
    <row r="35" spans="1:6" ht="15.75" customHeight="1" x14ac:dyDescent="0.25">
      <c r="A35" s="392"/>
    </row>
  </sheetData>
  <mergeCells count="7">
    <mergeCell ref="B34:F34"/>
    <mergeCell ref="A1:F1"/>
    <mergeCell ref="A2:F2"/>
    <mergeCell ref="A3:F3"/>
    <mergeCell ref="A4:F4"/>
    <mergeCell ref="B30:F30"/>
    <mergeCell ref="B32:F32"/>
  </mergeCells>
  <printOptions gridLines="1"/>
  <pageMargins left="0.25" right="0.25" top="0.5" bottom="0.5" header="0.25" footer="0.25"/>
  <pageSetup paperSize="9" scale="80" orientation="portrait" horizontalDpi="1200" verticalDpi="1200" r:id="rId1"/>
  <headerFooter>
    <oddHeader>&amp;LOFFICE OF HEALTH CARE ACCESS&amp;CTWELVE MONTHS ACTUAL FILING&amp;RYALE-NEW HAVEN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zoomScale="85" zoomScaleSheetLayoutView="80" workbookViewId="0">
      <selection sqref="A1:F1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633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634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635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636</v>
      </c>
      <c r="D7" s="426" t="s">
        <v>636</v>
      </c>
      <c r="E7" s="426" t="s">
        <v>637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638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639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640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641</v>
      </c>
      <c r="C15" s="448">
        <v>1964467554</v>
      </c>
      <c r="D15" s="448">
        <v>1988875521</v>
      </c>
      <c r="E15" s="448">
        <f t="shared" ref="E15:E24" si="0">D15-C15</f>
        <v>24407967</v>
      </c>
      <c r="F15" s="449">
        <f t="shared" ref="F15:F24" si="1">IF(C15=0,0,E15/C15)</f>
        <v>1.2424723915801563E-2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642</v>
      </c>
      <c r="C16" s="448">
        <v>627427757</v>
      </c>
      <c r="D16" s="448">
        <v>524753876</v>
      </c>
      <c r="E16" s="448">
        <f t="shared" si="0"/>
        <v>-102673881</v>
      </c>
      <c r="F16" s="449">
        <f t="shared" si="1"/>
        <v>-0.16364255462800636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643</v>
      </c>
      <c r="C17" s="453">
        <f>IF(C15=0,0,C16/C15)</f>
        <v>0.31938820049353689</v>
      </c>
      <c r="D17" s="453">
        <f>IF(LN_IA1=0,0,LN_IA2/LN_IA1)</f>
        <v>0.26384450432380779</v>
      </c>
      <c r="E17" s="454">
        <f t="shared" si="0"/>
        <v>-5.5543696169729095E-2</v>
      </c>
      <c r="F17" s="449">
        <f t="shared" si="1"/>
        <v>-0.17390653782418952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28079</v>
      </c>
      <c r="D18" s="456">
        <v>28648</v>
      </c>
      <c r="E18" s="456">
        <f t="shared" si="0"/>
        <v>569</v>
      </c>
      <c r="F18" s="449">
        <f t="shared" si="1"/>
        <v>2.0264254425015137E-2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644</v>
      </c>
      <c r="C19" s="459">
        <v>1.81</v>
      </c>
      <c r="D19" s="459">
        <v>1.8504</v>
      </c>
      <c r="E19" s="460">
        <f t="shared" si="0"/>
        <v>4.0399999999999991E-2</v>
      </c>
      <c r="F19" s="449">
        <f t="shared" si="1"/>
        <v>2.2320441988950272E-2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645</v>
      </c>
      <c r="C20" s="463">
        <f>C18*C19</f>
        <v>50822.99</v>
      </c>
      <c r="D20" s="463">
        <f>LN_IA4*LN_IA5</f>
        <v>53010.2592</v>
      </c>
      <c r="E20" s="463">
        <f t="shared" si="0"/>
        <v>2187.2692000000025</v>
      </c>
      <c r="F20" s="449">
        <f t="shared" si="1"/>
        <v>4.3037003529308344E-2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646</v>
      </c>
      <c r="C21" s="465">
        <f>IF(C20=0,0,C16/C20)</f>
        <v>12345.353097092478</v>
      </c>
      <c r="D21" s="465">
        <f>IF(LN_IA6=0,0,LN_IA2/LN_IA6)</f>
        <v>9899.1003613127014</v>
      </c>
      <c r="E21" s="465">
        <f t="shared" si="0"/>
        <v>-2446.2527357797771</v>
      </c>
      <c r="F21" s="449">
        <f t="shared" si="1"/>
        <v>-0.19815170263181112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179809</v>
      </c>
      <c r="D22" s="456">
        <v>187359</v>
      </c>
      <c r="E22" s="456">
        <f t="shared" si="0"/>
        <v>7550</v>
      </c>
      <c r="F22" s="449">
        <f t="shared" si="1"/>
        <v>4.1988999438292852E-2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647</v>
      </c>
      <c r="C23" s="465">
        <f>IF(C22=0,0,C16/C22)</f>
        <v>3489.4124153963371</v>
      </c>
      <c r="D23" s="465">
        <f>IF(LN_IA8=0,0,LN_IA2/LN_IA8)</f>
        <v>2800.7935354052915</v>
      </c>
      <c r="E23" s="465">
        <f t="shared" si="0"/>
        <v>-688.61887999104556</v>
      </c>
      <c r="F23" s="449">
        <f t="shared" si="1"/>
        <v>-0.1973452255034836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648</v>
      </c>
      <c r="C24" s="466">
        <f>IF(C18=0,0,C22/C18)</f>
        <v>6.4036824673243347</v>
      </c>
      <c r="D24" s="466">
        <f>IF(LN_IA4=0,0,LN_IA8/LN_IA4)</f>
        <v>6.5400376989667688</v>
      </c>
      <c r="E24" s="466">
        <f t="shared" si="0"/>
        <v>0.13635523164243413</v>
      </c>
      <c r="F24" s="449">
        <f t="shared" si="1"/>
        <v>2.1293253114626678E-2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649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650</v>
      </c>
      <c r="C27" s="448">
        <v>1566403285</v>
      </c>
      <c r="D27" s="448">
        <v>1656820595</v>
      </c>
      <c r="E27" s="448">
        <f t="shared" ref="E27:E32" si="2">D27-C27</f>
        <v>90417310</v>
      </c>
      <c r="F27" s="449">
        <f t="shared" ref="F27:F32" si="3">IF(C27=0,0,E27/C27)</f>
        <v>5.7722880733105712E-2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651</v>
      </c>
      <c r="C28" s="448">
        <v>248796075</v>
      </c>
      <c r="D28" s="448">
        <v>275461332</v>
      </c>
      <c r="E28" s="448">
        <f t="shared" si="2"/>
        <v>26665257</v>
      </c>
      <c r="F28" s="449">
        <f t="shared" si="3"/>
        <v>0.10717716105449011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652</v>
      </c>
      <c r="C29" s="453">
        <f>IF(C27=0,0,C28/C27)</f>
        <v>0.15883270763186633</v>
      </c>
      <c r="D29" s="453">
        <f>IF(LN_IA11=0,0,LN_IA12/LN_IA11)</f>
        <v>0.16625899800575572</v>
      </c>
      <c r="E29" s="454">
        <f t="shared" si="2"/>
        <v>7.4262903738893937E-3</v>
      </c>
      <c r="F29" s="449">
        <f t="shared" si="3"/>
        <v>4.6755422636889372E-2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653</v>
      </c>
      <c r="C30" s="453">
        <f>IF(C15=0,0,C27/C15)</f>
        <v>0.79736785767244089</v>
      </c>
      <c r="D30" s="453">
        <f>IF(LN_IA1=0,0,LN_IA11/LN_IA1)</f>
        <v>0.83304388711413979</v>
      </c>
      <c r="E30" s="454">
        <f t="shared" si="2"/>
        <v>3.5676029441698898E-2</v>
      </c>
      <c r="F30" s="449">
        <f t="shared" si="3"/>
        <v>4.4742246754012789E-2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654</v>
      </c>
      <c r="C31" s="463">
        <f>C30*C18</f>
        <v>22389.292075584468</v>
      </c>
      <c r="D31" s="463">
        <f>LN_IA14*LN_IA4</f>
        <v>23865.041278045876</v>
      </c>
      <c r="E31" s="463">
        <f t="shared" si="2"/>
        <v>1475.7492024614075</v>
      </c>
      <c r="F31" s="449">
        <f t="shared" si="3"/>
        <v>6.591316945079799E-2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655</v>
      </c>
      <c r="C32" s="465">
        <f>IF(C31=0,0,C28/C31)</f>
        <v>11112.279662978368</v>
      </c>
      <c r="D32" s="465">
        <f>IF(LN_IA15=0,0,LN_IA12/LN_IA15)</f>
        <v>11542.461996636253</v>
      </c>
      <c r="E32" s="465">
        <f t="shared" si="2"/>
        <v>430.18233365788547</v>
      </c>
      <c r="F32" s="449">
        <f t="shared" si="3"/>
        <v>3.871233866540269E-2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656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657</v>
      </c>
      <c r="C35" s="448">
        <f>C15+C27</f>
        <v>3530870839</v>
      </c>
      <c r="D35" s="448">
        <f>LN_IA1+LN_IA11</f>
        <v>3645696116</v>
      </c>
      <c r="E35" s="448">
        <f>D35-C35</f>
        <v>114825277</v>
      </c>
      <c r="F35" s="449">
        <f>IF(C35=0,0,E35/C35)</f>
        <v>3.2520384413868952E-2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658</v>
      </c>
      <c r="C36" s="448">
        <f>C16+C28</f>
        <v>876223832</v>
      </c>
      <c r="D36" s="448">
        <f>LN_IA2+LN_IA12</f>
        <v>800215208</v>
      </c>
      <c r="E36" s="448">
        <f>D36-C36</f>
        <v>-76008624</v>
      </c>
      <c r="F36" s="449">
        <f>IF(C36=0,0,E36/C36)</f>
        <v>-8.6745670711225298E-2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659</v>
      </c>
      <c r="C37" s="448">
        <f>C35-C36</f>
        <v>2654647007</v>
      </c>
      <c r="D37" s="448">
        <f>LN_IA17-LN_IA18</f>
        <v>2845480908</v>
      </c>
      <c r="E37" s="448">
        <f>D37-C37</f>
        <v>190833901</v>
      </c>
      <c r="F37" s="449">
        <f>IF(C37=0,0,E37/C37)</f>
        <v>7.1886733150129889E-2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660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661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641</v>
      </c>
      <c r="C42" s="448">
        <v>1495263188</v>
      </c>
      <c r="D42" s="448">
        <v>1494723315</v>
      </c>
      <c r="E42" s="448">
        <f t="shared" ref="E42:E53" si="4">D42-C42</f>
        <v>-539873</v>
      </c>
      <c r="F42" s="449">
        <f t="shared" ref="F42:F53" si="5">IF(C42=0,0,E42/C42)</f>
        <v>-3.6105550135432079E-4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642</v>
      </c>
      <c r="C43" s="448">
        <v>684069869</v>
      </c>
      <c r="D43" s="448">
        <v>779121584</v>
      </c>
      <c r="E43" s="448">
        <f t="shared" si="4"/>
        <v>95051715</v>
      </c>
      <c r="F43" s="449">
        <f t="shared" si="5"/>
        <v>0.13895030216569881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643</v>
      </c>
      <c r="C44" s="453">
        <f>IF(C42=0,0,C43/C42)</f>
        <v>0.457491279454945</v>
      </c>
      <c r="D44" s="453">
        <f>IF(LN_IB1=0,0,LN_IB2/LN_IB1)</f>
        <v>0.52124803044234314</v>
      </c>
      <c r="E44" s="454">
        <f t="shared" si="4"/>
        <v>6.3756750987398136E-2</v>
      </c>
      <c r="F44" s="449">
        <f t="shared" si="5"/>
        <v>0.13936167496647786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27712</v>
      </c>
      <c r="D45" s="456">
        <v>27552</v>
      </c>
      <c r="E45" s="456">
        <f t="shared" si="4"/>
        <v>-160</v>
      </c>
      <c r="F45" s="449">
        <f t="shared" si="5"/>
        <v>-5.7736720554272519E-3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644</v>
      </c>
      <c r="C46" s="459">
        <v>1.47</v>
      </c>
      <c r="D46" s="459">
        <v>1.5076000000000001</v>
      </c>
      <c r="E46" s="460">
        <f t="shared" si="4"/>
        <v>3.7600000000000078E-2</v>
      </c>
      <c r="F46" s="449">
        <f t="shared" si="5"/>
        <v>2.5578231292517059E-2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645</v>
      </c>
      <c r="C47" s="463">
        <f>C45*C46</f>
        <v>40736.639999999999</v>
      </c>
      <c r="D47" s="463">
        <f>LN_IB4*LN_IB5</f>
        <v>41537.395199999999</v>
      </c>
      <c r="E47" s="463">
        <f t="shared" si="4"/>
        <v>800.7551999999996</v>
      </c>
      <c r="F47" s="449">
        <f t="shared" si="5"/>
        <v>1.9656878917848886E-2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646</v>
      </c>
      <c r="C48" s="465">
        <f>IF(C47=0,0,C43/C47)</f>
        <v>16792.496116518199</v>
      </c>
      <c r="D48" s="465">
        <f>IF(LN_IB6=0,0,LN_IB2/LN_IB6)</f>
        <v>18757.112241838411</v>
      </c>
      <c r="E48" s="465">
        <f t="shared" si="4"/>
        <v>1964.6161253202117</v>
      </c>
      <c r="F48" s="449">
        <f t="shared" si="5"/>
        <v>0.11699369240214899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662</v>
      </c>
      <c r="C49" s="465">
        <f>C21-C48</f>
        <v>-4447.1430194257209</v>
      </c>
      <c r="D49" s="465">
        <f>LN_IA7-LN_IB7</f>
        <v>-8858.0118805257098</v>
      </c>
      <c r="E49" s="465">
        <f t="shared" si="4"/>
        <v>-4410.8688610999889</v>
      </c>
      <c r="F49" s="449">
        <f t="shared" si="5"/>
        <v>0.99184326697673508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663</v>
      </c>
      <c r="C50" s="479">
        <f>C49*C47</f>
        <v>-181161664.21085858</v>
      </c>
      <c r="D50" s="479">
        <f>LN_IB8*LN_IB6</f>
        <v>-367938740.16769159</v>
      </c>
      <c r="E50" s="479">
        <f t="shared" si="4"/>
        <v>-186777075.956833</v>
      </c>
      <c r="F50" s="449">
        <f t="shared" si="5"/>
        <v>1.0309966888990294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124961</v>
      </c>
      <c r="D51" s="456">
        <v>123019</v>
      </c>
      <c r="E51" s="456">
        <f t="shared" si="4"/>
        <v>-1942</v>
      </c>
      <c r="F51" s="449">
        <f t="shared" si="5"/>
        <v>-1.5540848744808379E-2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647</v>
      </c>
      <c r="C52" s="465">
        <f>IF(C51=0,0,C43/C51)</f>
        <v>5474.2669232800636</v>
      </c>
      <c r="D52" s="465">
        <f>IF(LN_IB10=0,0,LN_IB2/LN_IB10)</f>
        <v>6333.3434997845861</v>
      </c>
      <c r="E52" s="465">
        <f t="shared" si="4"/>
        <v>859.07657650452256</v>
      </c>
      <c r="F52" s="449">
        <f t="shared" si="5"/>
        <v>0.15692997592996111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648</v>
      </c>
      <c r="C53" s="466">
        <f>IF(C45=0,0,C51/C45)</f>
        <v>4.50927396073903</v>
      </c>
      <c r="D53" s="466">
        <f>IF(LN_IB4=0,0,LN_IB10/LN_IB4)</f>
        <v>4.4649753193960509</v>
      </c>
      <c r="E53" s="466">
        <f t="shared" si="4"/>
        <v>-4.4298641342979117E-2</v>
      </c>
      <c r="F53" s="449">
        <f t="shared" si="5"/>
        <v>-9.8238966469269395E-3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664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650</v>
      </c>
      <c r="C56" s="448">
        <v>1727913241</v>
      </c>
      <c r="D56" s="448">
        <v>1768725060</v>
      </c>
      <c r="E56" s="448">
        <f t="shared" ref="E56:E63" si="6">D56-C56</f>
        <v>40811819</v>
      </c>
      <c r="F56" s="449">
        <f t="shared" ref="F56:F63" si="7">IF(C56=0,0,E56/C56)</f>
        <v>2.3619136674003876E-2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651</v>
      </c>
      <c r="C57" s="448">
        <v>738947223</v>
      </c>
      <c r="D57" s="448">
        <v>793160072</v>
      </c>
      <c r="E57" s="448">
        <f t="shared" si="6"/>
        <v>54212849</v>
      </c>
      <c r="F57" s="449">
        <f t="shared" si="7"/>
        <v>7.3364981033293628E-2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652</v>
      </c>
      <c r="C58" s="453">
        <f>IF(C56=0,0,C57/C56)</f>
        <v>0.42765296628686461</v>
      </c>
      <c r="D58" s="453">
        <f>IF(LN_IB13=0,0,LN_IB14/LN_IB13)</f>
        <v>0.44843604579221602</v>
      </c>
      <c r="E58" s="454">
        <f t="shared" si="6"/>
        <v>2.0783079505351409E-2</v>
      </c>
      <c r="F58" s="449">
        <f t="shared" si="7"/>
        <v>4.8598001519321539E-2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653</v>
      </c>
      <c r="C59" s="453">
        <f>IF(C42=0,0,C56/C42)</f>
        <v>1.1555913733897125</v>
      </c>
      <c r="D59" s="453">
        <f>IF(LN_IB1=0,0,LN_IB13/LN_IB1)</f>
        <v>1.1833126855320377</v>
      </c>
      <c r="E59" s="454">
        <f t="shared" si="6"/>
        <v>2.7721312142325205E-2</v>
      </c>
      <c r="F59" s="449">
        <f t="shared" si="7"/>
        <v>2.3988853482879411E-2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654</v>
      </c>
      <c r="C60" s="463">
        <f>C59*C45</f>
        <v>32023.748139375712</v>
      </c>
      <c r="D60" s="463">
        <f>LN_IB16*LN_IB4</f>
        <v>32602.631111778705</v>
      </c>
      <c r="E60" s="463">
        <f t="shared" si="6"/>
        <v>578.88297240299289</v>
      </c>
      <c r="F60" s="449">
        <f t="shared" si="7"/>
        <v>1.8076677654456409E-2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655</v>
      </c>
      <c r="C61" s="465">
        <f>IF(C60=0,0,C57/C60)</f>
        <v>23074.976101607743</v>
      </c>
      <c r="D61" s="465">
        <f>IF(LN_IB17=0,0,LN_IB14/LN_IB17)</f>
        <v>24328.100062864145</v>
      </c>
      <c r="E61" s="465">
        <f t="shared" si="6"/>
        <v>1253.1239612564023</v>
      </c>
      <c r="F61" s="449">
        <f t="shared" si="7"/>
        <v>5.4306620112559559E-2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665</v>
      </c>
      <c r="C62" s="465">
        <f>C32-C61</f>
        <v>-11962.696438629375</v>
      </c>
      <c r="D62" s="465">
        <f>LN_IA16-LN_IB18</f>
        <v>-12785.638066227892</v>
      </c>
      <c r="E62" s="465">
        <f t="shared" si="6"/>
        <v>-822.94162759851679</v>
      </c>
      <c r="F62" s="449">
        <f t="shared" si="7"/>
        <v>6.8792318840517633E-2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666</v>
      </c>
      <c r="C63" s="448">
        <f>C62*C60</f>
        <v>-383090377.81847388</v>
      </c>
      <c r="D63" s="448">
        <f>LN_IB19*LN_IB17</f>
        <v>-416845441.40194356</v>
      </c>
      <c r="E63" s="448">
        <f t="shared" si="6"/>
        <v>-33755063.583469689</v>
      </c>
      <c r="F63" s="449">
        <f t="shared" si="7"/>
        <v>8.811253306775671E-2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667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657</v>
      </c>
      <c r="C66" s="448">
        <f>C42+C56</f>
        <v>3223176429</v>
      </c>
      <c r="D66" s="448">
        <f>LN_IB1+LN_IB13</f>
        <v>3263448375</v>
      </c>
      <c r="E66" s="448">
        <f>D66-C66</f>
        <v>40271946</v>
      </c>
      <c r="F66" s="449">
        <f>IF(C66=0,0,E66/C66)</f>
        <v>1.2494490105369283E-2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658</v>
      </c>
      <c r="C67" s="448">
        <f>C43+C57</f>
        <v>1423017092</v>
      </c>
      <c r="D67" s="448">
        <f>LN_IB2+LN_IB14</f>
        <v>1572281656</v>
      </c>
      <c r="E67" s="448">
        <f>D67-C67</f>
        <v>149264564</v>
      </c>
      <c r="F67" s="449">
        <f>IF(C67=0,0,E67/C67)</f>
        <v>0.10489302260608406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659</v>
      </c>
      <c r="C68" s="448">
        <f>C66-C67</f>
        <v>1800159337</v>
      </c>
      <c r="D68" s="448">
        <f>LN_IB21-LN_IB22</f>
        <v>1691166719</v>
      </c>
      <c r="E68" s="448">
        <f>D68-C68</f>
        <v>-108992618</v>
      </c>
      <c r="F68" s="449">
        <f>IF(C68=0,0,E68/C68)</f>
        <v>-6.0546094870489786E-2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668</v>
      </c>
      <c r="C70" s="441">
        <f>C50+C63</f>
        <v>-564252042.0293324</v>
      </c>
      <c r="D70" s="441">
        <f>LN_IB9+LN_IB20</f>
        <v>-784784181.56963515</v>
      </c>
      <c r="E70" s="448">
        <f>D70-C70</f>
        <v>-220532139.54030275</v>
      </c>
      <c r="F70" s="449">
        <f>IF(C70=0,0,E70/C70)</f>
        <v>0.39083977214714005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669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670</v>
      </c>
      <c r="C73" s="488">
        <v>3045751782</v>
      </c>
      <c r="D73" s="488">
        <v>3053697890</v>
      </c>
      <c r="E73" s="488">
        <f>D73-C73</f>
        <v>7946108</v>
      </c>
      <c r="F73" s="489">
        <f>IF(C73=0,0,E73/C73)</f>
        <v>2.6089151607693291E-3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671</v>
      </c>
      <c r="C74" s="488">
        <v>1342232256</v>
      </c>
      <c r="D74" s="488">
        <v>1406447225</v>
      </c>
      <c r="E74" s="488">
        <f>D74-C74</f>
        <v>64214969</v>
      </c>
      <c r="F74" s="489">
        <f>IF(C74=0,0,E74/C74)</f>
        <v>4.7841920586357896E-2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672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673</v>
      </c>
      <c r="C76" s="441">
        <f>C73-C74</f>
        <v>1703519526</v>
      </c>
      <c r="D76" s="441">
        <f>LN_IB32-LN_IB33</f>
        <v>1647250665</v>
      </c>
      <c r="E76" s="488">
        <f>D76-C76</f>
        <v>-56268861</v>
      </c>
      <c r="F76" s="489">
        <f>IF(E76=0,0,E76/C76)</f>
        <v>-3.3030945722191854E-2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674</v>
      </c>
      <c r="C77" s="453">
        <f>IF(C73=0,0,C76/C73)</f>
        <v>0.55931003178511807</v>
      </c>
      <c r="D77" s="453">
        <f>IF(LN_IB32=0,0,LN_IB34/LN_IB32)</f>
        <v>0.53942817015209055</v>
      </c>
      <c r="E77" s="493">
        <f>D77-C77</f>
        <v>-1.988186163302752E-2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675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676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641</v>
      </c>
      <c r="C83" s="448">
        <v>80469795</v>
      </c>
      <c r="D83" s="448">
        <v>95188396</v>
      </c>
      <c r="E83" s="448">
        <f t="shared" ref="E83:E95" si="8">D83-C83</f>
        <v>14718601</v>
      </c>
      <c r="F83" s="449">
        <f t="shared" ref="F83:F95" si="9">IF(C83=0,0,E83/C83)</f>
        <v>0.18290839438574436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642</v>
      </c>
      <c r="C84" s="448">
        <v>27560241</v>
      </c>
      <c r="D84" s="448">
        <v>53901535</v>
      </c>
      <c r="E84" s="448">
        <f t="shared" si="8"/>
        <v>26341294</v>
      </c>
      <c r="F84" s="449">
        <f t="shared" si="9"/>
        <v>0.95577154060445257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643</v>
      </c>
      <c r="C85" s="453">
        <f>IF(C83=0,0,C84/C83)</f>
        <v>0.34249175109741486</v>
      </c>
      <c r="D85" s="453">
        <f>IF(LN_IC1=0,0,LN_IC2/LN_IC1)</f>
        <v>0.5662616165945269</v>
      </c>
      <c r="E85" s="454">
        <f t="shared" si="8"/>
        <v>0.22376986549711203</v>
      </c>
      <c r="F85" s="449">
        <f t="shared" si="9"/>
        <v>0.65335840872110584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1339</v>
      </c>
      <c r="D86" s="456">
        <v>1457</v>
      </c>
      <c r="E86" s="456">
        <f t="shared" si="8"/>
        <v>118</v>
      </c>
      <c r="F86" s="449">
        <f t="shared" si="9"/>
        <v>8.8125466766243471E-2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644</v>
      </c>
      <c r="C87" s="459">
        <v>1.6</v>
      </c>
      <c r="D87" s="459">
        <v>1.4764999999999999</v>
      </c>
      <c r="E87" s="460">
        <f t="shared" si="8"/>
        <v>-0.12350000000000017</v>
      </c>
      <c r="F87" s="449">
        <f t="shared" si="9"/>
        <v>-7.7187500000000103E-2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645</v>
      </c>
      <c r="C88" s="463">
        <f>C86*C87</f>
        <v>2142.4</v>
      </c>
      <c r="D88" s="463">
        <f>LN_IC4*LN_IC5</f>
        <v>2151.2604999999999</v>
      </c>
      <c r="E88" s="463">
        <f t="shared" si="8"/>
        <v>8.8604999999997744</v>
      </c>
      <c r="F88" s="449">
        <f t="shared" si="9"/>
        <v>4.1357823002239422E-3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646</v>
      </c>
      <c r="C89" s="465">
        <f>IF(C88=0,0,C84/C88)</f>
        <v>12864.190160567587</v>
      </c>
      <c r="D89" s="465">
        <f>IF(LN_IC6=0,0,LN_IC2/LN_IC6)</f>
        <v>25055.791709093344</v>
      </c>
      <c r="E89" s="465">
        <f t="shared" si="8"/>
        <v>12191.601548525758</v>
      </c>
      <c r="F89" s="449">
        <f t="shared" si="9"/>
        <v>0.94771621037572151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677</v>
      </c>
      <c r="C90" s="465">
        <f>C48-C89</f>
        <v>3928.3059559506128</v>
      </c>
      <c r="D90" s="465">
        <f>LN_IB7-LN_IC7</f>
        <v>-6298.6794672549331</v>
      </c>
      <c r="E90" s="465">
        <f t="shared" si="8"/>
        <v>-10226.985423205546</v>
      </c>
      <c r="F90" s="449">
        <f t="shared" si="9"/>
        <v>-2.6034085781209759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678</v>
      </c>
      <c r="C91" s="465">
        <f>C21-C89</f>
        <v>-518.83706347510815</v>
      </c>
      <c r="D91" s="465">
        <f>LN_IA7-LN_IC7</f>
        <v>-15156.691347780643</v>
      </c>
      <c r="E91" s="465">
        <f t="shared" si="8"/>
        <v>-14637.854284305535</v>
      </c>
      <c r="F91" s="449">
        <f t="shared" si="9"/>
        <v>28.212815380348793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663</v>
      </c>
      <c r="C92" s="441">
        <f>C91*C88</f>
        <v>-1111556.5247890716</v>
      </c>
      <c r="D92" s="441">
        <f>LN_IC9*LN_IC6</f>
        <v>-32605991.407172259</v>
      </c>
      <c r="E92" s="441">
        <f t="shared" si="8"/>
        <v>-31494434.882383186</v>
      </c>
      <c r="F92" s="449">
        <f t="shared" si="9"/>
        <v>28.333633225138552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6526</v>
      </c>
      <c r="D93" s="456">
        <v>5918</v>
      </c>
      <c r="E93" s="456">
        <f t="shared" si="8"/>
        <v>-608</v>
      </c>
      <c r="F93" s="449">
        <f t="shared" si="9"/>
        <v>-9.3165798345081208E-2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647</v>
      </c>
      <c r="C94" s="499">
        <f>IF(C93=0,0,C84/C93)</f>
        <v>4223.1444989273677</v>
      </c>
      <c r="D94" s="499">
        <f>IF(LN_IC11=0,0,LN_IC2/LN_IC11)</f>
        <v>9108.0660696181149</v>
      </c>
      <c r="E94" s="499">
        <f t="shared" si="8"/>
        <v>4884.9215706907471</v>
      </c>
      <c r="F94" s="449">
        <f t="shared" si="9"/>
        <v>1.1567024457561097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648</v>
      </c>
      <c r="C95" s="466">
        <f>IF(C86=0,0,C93/C86)</f>
        <v>4.8737864077669899</v>
      </c>
      <c r="D95" s="466">
        <f>IF(LN_IC4=0,0,LN_IC11/LN_IC4)</f>
        <v>4.0617707618393961</v>
      </c>
      <c r="E95" s="466">
        <f t="shared" si="8"/>
        <v>-0.81201564592759379</v>
      </c>
      <c r="F95" s="449">
        <f t="shared" si="9"/>
        <v>-0.16660878790944655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679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650</v>
      </c>
      <c r="C98" s="448">
        <v>96954852</v>
      </c>
      <c r="D98" s="448">
        <v>114562089</v>
      </c>
      <c r="E98" s="448">
        <f t="shared" ref="E98:E106" si="10">D98-C98</f>
        <v>17607237</v>
      </c>
      <c r="F98" s="449">
        <f t="shared" ref="F98:F106" si="11">IF(C98=0,0,E98/C98)</f>
        <v>0.18160243285194227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651</v>
      </c>
      <c r="C99" s="448">
        <v>12752235</v>
      </c>
      <c r="D99" s="448">
        <v>49306839</v>
      </c>
      <c r="E99" s="448">
        <f t="shared" si="10"/>
        <v>36554604</v>
      </c>
      <c r="F99" s="449">
        <f t="shared" si="11"/>
        <v>2.8665252796862668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652</v>
      </c>
      <c r="C100" s="453">
        <f>IF(C98=0,0,C99/C98)</f>
        <v>0.1315275588270714</v>
      </c>
      <c r="D100" s="453">
        <f>IF(LN_IC14=0,0,LN_IC15/LN_IC14)</f>
        <v>0.43039402851671116</v>
      </c>
      <c r="E100" s="454">
        <f t="shared" si="10"/>
        <v>0.29886646968963976</v>
      </c>
      <c r="F100" s="449">
        <f t="shared" si="11"/>
        <v>2.2722726123319954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653</v>
      </c>
      <c r="C101" s="453">
        <f>IF(C83=0,0,C98/C83)</f>
        <v>1.2048601838739617</v>
      </c>
      <c r="D101" s="453">
        <f>IF(LN_IC1=0,0,LN_IC14/LN_IC1)</f>
        <v>1.2035299869954736</v>
      </c>
      <c r="E101" s="454">
        <f t="shared" si="10"/>
        <v>-1.3301968784880103E-3</v>
      </c>
      <c r="F101" s="449">
        <f t="shared" si="11"/>
        <v>-1.1040259245774528E-3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654</v>
      </c>
      <c r="C102" s="463">
        <f>C101*C86</f>
        <v>1613.3077862072346</v>
      </c>
      <c r="D102" s="463">
        <f>LN_IC17*LN_IC4</f>
        <v>1753.5431910524051</v>
      </c>
      <c r="E102" s="463">
        <f t="shared" si="10"/>
        <v>140.23540484517048</v>
      </c>
      <c r="F102" s="449">
        <f t="shared" si="11"/>
        <v>8.6924148041740618E-2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655</v>
      </c>
      <c r="C103" s="465">
        <f>IF(C102=0,0,C99/C102)</f>
        <v>7904.4030587489733</v>
      </c>
      <c r="D103" s="465">
        <f>IF(LN_IC18=0,0,LN_IC15/LN_IC18)</f>
        <v>28118.405780702811</v>
      </c>
      <c r="E103" s="465">
        <f t="shared" si="10"/>
        <v>20214.002721953839</v>
      </c>
      <c r="F103" s="449">
        <f t="shared" si="11"/>
        <v>2.5573092075030268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680</v>
      </c>
      <c r="C104" s="465">
        <f>C61-C103</f>
        <v>15170.57304285877</v>
      </c>
      <c r="D104" s="465">
        <f>LN_IB18-LN_IC19</f>
        <v>-3790.3057178386662</v>
      </c>
      <c r="E104" s="465">
        <f t="shared" si="10"/>
        <v>-18960.878760697437</v>
      </c>
      <c r="F104" s="449">
        <f t="shared" si="11"/>
        <v>-1.2498459159802717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681</v>
      </c>
      <c r="C105" s="465">
        <f>C32-C103</f>
        <v>3207.8766042293946</v>
      </c>
      <c r="D105" s="465">
        <f>LN_IA16-LN_IC19</f>
        <v>-16575.943784066556</v>
      </c>
      <c r="E105" s="465">
        <f t="shared" si="10"/>
        <v>-19783.82038829595</v>
      </c>
      <c r="F105" s="449">
        <f t="shared" si="11"/>
        <v>-6.167263529467486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666</v>
      </c>
      <c r="C106" s="448">
        <f>C105*C102</f>
        <v>5175292.3027953058</v>
      </c>
      <c r="D106" s="448">
        <f>LN_IC21*LN_IC18</f>
        <v>-29066633.357817348</v>
      </c>
      <c r="E106" s="448">
        <f t="shared" si="10"/>
        <v>-34241925.660612658</v>
      </c>
      <c r="F106" s="449">
        <f t="shared" si="11"/>
        <v>-6.6164235094736057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682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657</v>
      </c>
      <c r="C109" s="448">
        <f>C83+C98</f>
        <v>177424647</v>
      </c>
      <c r="D109" s="448">
        <f>LN_IC1+LN_IC14</f>
        <v>209750485</v>
      </c>
      <c r="E109" s="448">
        <f>D109-C109</f>
        <v>32325838</v>
      </c>
      <c r="F109" s="449">
        <f>IF(C109=0,0,E109/C109)</f>
        <v>0.18219474321400228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658</v>
      </c>
      <c r="C110" s="448">
        <f>C84+C99</f>
        <v>40312476</v>
      </c>
      <c r="D110" s="448">
        <f>LN_IC2+LN_IC15</f>
        <v>103208374</v>
      </c>
      <c r="E110" s="448">
        <f>D110-C110</f>
        <v>62895898</v>
      </c>
      <c r="F110" s="449">
        <f>IF(C110=0,0,E110/C110)</f>
        <v>1.5602092513493837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659</v>
      </c>
      <c r="C111" s="448">
        <f>C109-C110</f>
        <v>137112171</v>
      </c>
      <c r="D111" s="448">
        <f>LN_IC23-LN_IC24</f>
        <v>106542111</v>
      </c>
      <c r="E111" s="448">
        <f>D111-C111</f>
        <v>-30570060</v>
      </c>
      <c r="F111" s="449">
        <f>IF(C111=0,0,E111/C111)</f>
        <v>-0.2229565747303352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668</v>
      </c>
      <c r="C113" s="448">
        <f>C92+C106</f>
        <v>4063735.7780062342</v>
      </c>
      <c r="D113" s="448">
        <f>LN_IC10+LN_IC22</f>
        <v>-61672624.764989607</v>
      </c>
      <c r="E113" s="448">
        <f>D113-C113</f>
        <v>-65736360.54299584</v>
      </c>
      <c r="F113" s="449">
        <f>IF(C113=0,0,E113/C113)</f>
        <v>-16.176337275364805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683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684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641</v>
      </c>
      <c r="C118" s="448">
        <v>1148213273</v>
      </c>
      <c r="D118" s="448">
        <v>1122842218</v>
      </c>
      <c r="E118" s="448">
        <f t="shared" ref="E118:E130" si="12">D118-C118</f>
        <v>-25371055</v>
      </c>
      <c r="F118" s="449">
        <f t="shared" ref="F118:F130" si="13">IF(C118=0,0,E118/C118)</f>
        <v>-2.2096117155754217E-2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642</v>
      </c>
      <c r="C119" s="448">
        <v>130960728</v>
      </c>
      <c r="D119" s="448">
        <v>164075205</v>
      </c>
      <c r="E119" s="448">
        <f t="shared" si="12"/>
        <v>33114477</v>
      </c>
      <c r="F119" s="449">
        <f t="shared" si="13"/>
        <v>0.25285807055073795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643</v>
      </c>
      <c r="C120" s="453">
        <f>IF(C118=0,0,C119/C118)</f>
        <v>0.11405610009874881</v>
      </c>
      <c r="D120" s="453">
        <f>IF(LN_ID1=0,0,LN_1D2/LN_ID1)</f>
        <v>0.14612489837819762</v>
      </c>
      <c r="E120" s="454">
        <f t="shared" si="12"/>
        <v>3.2068798279448807E-2</v>
      </c>
      <c r="F120" s="449">
        <f t="shared" si="13"/>
        <v>0.28116688411828838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22248</v>
      </c>
      <c r="D121" s="456">
        <v>22682</v>
      </c>
      <c r="E121" s="456">
        <f t="shared" si="12"/>
        <v>434</v>
      </c>
      <c r="F121" s="449">
        <f t="shared" si="13"/>
        <v>1.9507371449119022E-2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644</v>
      </c>
      <c r="C122" s="459">
        <v>1.27</v>
      </c>
      <c r="D122" s="459">
        <v>1.3186</v>
      </c>
      <c r="E122" s="460">
        <f t="shared" si="12"/>
        <v>4.8599999999999977E-2</v>
      </c>
      <c r="F122" s="449">
        <f t="shared" si="13"/>
        <v>3.8267716535433052E-2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645</v>
      </c>
      <c r="C123" s="463">
        <f>C121*C122</f>
        <v>28254.959999999999</v>
      </c>
      <c r="D123" s="463">
        <f>LN_ID4*LN_ID5</f>
        <v>29908.485199999999</v>
      </c>
      <c r="E123" s="463">
        <f t="shared" si="12"/>
        <v>1653.5252</v>
      </c>
      <c r="F123" s="449">
        <f t="shared" si="13"/>
        <v>5.8521590545518386E-2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646</v>
      </c>
      <c r="C124" s="465">
        <f>IF(C123=0,0,C119/C123)</f>
        <v>4634.9641974364858</v>
      </c>
      <c r="D124" s="465">
        <f>IF(LN_ID6=0,0,LN_1D2/LN_ID6)</f>
        <v>5485.9082264721319</v>
      </c>
      <c r="E124" s="465">
        <f t="shared" si="12"/>
        <v>850.94402903564605</v>
      </c>
      <c r="F124" s="449">
        <f t="shared" si="13"/>
        <v>0.18359236291540024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685</v>
      </c>
      <c r="C125" s="465">
        <f>C48-C124</f>
        <v>12157.531919081714</v>
      </c>
      <c r="D125" s="465">
        <f>LN_IB7-LN_ID7</f>
        <v>13271.204015366278</v>
      </c>
      <c r="E125" s="465">
        <f t="shared" si="12"/>
        <v>1113.6720962845648</v>
      </c>
      <c r="F125" s="449">
        <f t="shared" si="13"/>
        <v>9.1603468837010704E-2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686</v>
      </c>
      <c r="C126" s="465">
        <f>C21-C124</f>
        <v>7710.3888996559926</v>
      </c>
      <c r="D126" s="465">
        <f>LN_IA7-LN_ID7</f>
        <v>4413.1921348405695</v>
      </c>
      <c r="E126" s="465">
        <f t="shared" si="12"/>
        <v>-3297.1967648154232</v>
      </c>
      <c r="F126" s="449">
        <f t="shared" si="13"/>
        <v>-0.42763040979197964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663</v>
      </c>
      <c r="C127" s="479">
        <f>C126*C123</f>
        <v>217856729.94422409</v>
      </c>
      <c r="D127" s="479">
        <f>LN_ID9*LN_ID6</f>
        <v>131991891.64963557</v>
      </c>
      <c r="E127" s="479">
        <f t="shared" si="12"/>
        <v>-85864838.294588521</v>
      </c>
      <c r="F127" s="449">
        <f t="shared" si="13"/>
        <v>-0.39413443099311979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122293</v>
      </c>
      <c r="D128" s="456">
        <v>124601</v>
      </c>
      <c r="E128" s="456">
        <f t="shared" si="12"/>
        <v>2308</v>
      </c>
      <c r="F128" s="449">
        <f t="shared" si="13"/>
        <v>1.8872707350379825E-2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647</v>
      </c>
      <c r="C129" s="465">
        <f>IF(C128=0,0,C119/C128)</f>
        <v>1070.8767304751702</v>
      </c>
      <c r="D129" s="465">
        <f>IF(LN_ID11=0,0,LN_1D2/LN_ID11)</f>
        <v>1316.8048811807289</v>
      </c>
      <c r="E129" s="465">
        <f t="shared" si="12"/>
        <v>245.92815070555866</v>
      </c>
      <c r="F129" s="449">
        <f t="shared" si="13"/>
        <v>0.22965122287831882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648</v>
      </c>
      <c r="C130" s="466">
        <f>IF(C121=0,0,C128/C121)</f>
        <v>5.4968087019057892</v>
      </c>
      <c r="D130" s="466">
        <f>IF(LN_ID4=0,0,LN_ID11/LN_ID4)</f>
        <v>5.4933868265585044</v>
      </c>
      <c r="E130" s="466">
        <f t="shared" si="12"/>
        <v>-3.4218753472847752E-3</v>
      </c>
      <c r="F130" s="449">
        <f t="shared" si="13"/>
        <v>-6.2252036278766308E-4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687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650</v>
      </c>
      <c r="C133" s="448">
        <v>781303401</v>
      </c>
      <c r="D133" s="448">
        <v>804648783</v>
      </c>
      <c r="E133" s="448">
        <f t="shared" ref="E133:E141" si="14">D133-C133</f>
        <v>23345382</v>
      </c>
      <c r="F133" s="449">
        <f t="shared" ref="F133:F141" si="15">IF(C133=0,0,E133/C133)</f>
        <v>2.9880046560811016E-2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651</v>
      </c>
      <c r="C134" s="448">
        <v>119432312</v>
      </c>
      <c r="D134" s="448">
        <v>102185971</v>
      </c>
      <c r="E134" s="448">
        <f t="shared" si="14"/>
        <v>-17246341</v>
      </c>
      <c r="F134" s="449">
        <f t="shared" si="15"/>
        <v>-0.14440263870969861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652</v>
      </c>
      <c r="C135" s="453">
        <f>IF(C133=0,0,C134/C133)</f>
        <v>0.15286291067866475</v>
      </c>
      <c r="D135" s="453">
        <f>IF(LN_ID14=0,0,LN_ID15/LN_ID14)</f>
        <v>0.126994501400992</v>
      </c>
      <c r="E135" s="454">
        <f t="shared" si="14"/>
        <v>-2.5868409277672755E-2</v>
      </c>
      <c r="F135" s="449">
        <f t="shared" si="15"/>
        <v>-0.1692261985776988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653</v>
      </c>
      <c r="C136" s="453">
        <f>IF(C118=0,0,C133/C118)</f>
        <v>0.6804514626090723</v>
      </c>
      <c r="D136" s="453">
        <f>IF(LN_ID1=0,0,LN_ID14/LN_ID1)</f>
        <v>0.71661785609846029</v>
      </c>
      <c r="E136" s="454">
        <f t="shared" si="14"/>
        <v>3.6166393489387993E-2</v>
      </c>
      <c r="F136" s="449">
        <f t="shared" si="15"/>
        <v>5.3150585275714264E-2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654</v>
      </c>
      <c r="C137" s="463">
        <f>C136*C121</f>
        <v>15138.684140126641</v>
      </c>
      <c r="D137" s="463">
        <f>LN_ID17*LN_ID4</f>
        <v>16254.326212025277</v>
      </c>
      <c r="E137" s="463">
        <f t="shared" si="14"/>
        <v>1115.6420718986355</v>
      </c>
      <c r="F137" s="449">
        <f t="shared" si="15"/>
        <v>7.3694784934544705E-2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655</v>
      </c>
      <c r="C138" s="465">
        <f>IF(C137=0,0,C134/C137)</f>
        <v>7889.2135468651704</v>
      </c>
      <c r="D138" s="465">
        <f>IF(LN_ID18=0,0,LN_ID15/LN_ID18)</f>
        <v>6286.6937495324028</v>
      </c>
      <c r="E138" s="465">
        <f t="shared" si="14"/>
        <v>-1602.5197973327677</v>
      </c>
      <c r="F138" s="449">
        <f t="shared" si="15"/>
        <v>-0.20312795284512727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688</v>
      </c>
      <c r="C139" s="465">
        <f>C61-C138</f>
        <v>15185.762554742572</v>
      </c>
      <c r="D139" s="465">
        <f>LN_IB18-LN_ID19</f>
        <v>18041.406313331743</v>
      </c>
      <c r="E139" s="465">
        <f t="shared" si="14"/>
        <v>2855.6437585891708</v>
      </c>
      <c r="F139" s="449">
        <f t="shared" si="15"/>
        <v>0.18804743905977525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689</v>
      </c>
      <c r="C140" s="465">
        <f>C32-C138</f>
        <v>3223.0661161131975</v>
      </c>
      <c r="D140" s="465">
        <f>LN_IA16-LN_ID19</f>
        <v>5255.7682471038506</v>
      </c>
      <c r="E140" s="465">
        <f t="shared" si="14"/>
        <v>2032.7021309906531</v>
      </c>
      <c r="F140" s="449">
        <f t="shared" si="15"/>
        <v>0.63067342020335471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666</v>
      </c>
      <c r="C141" s="441">
        <f>C140*C137</f>
        <v>48792979.894582435</v>
      </c>
      <c r="D141" s="441">
        <f>LN_ID21*LN_ID18</f>
        <v>85428971.583230257</v>
      </c>
      <c r="E141" s="441">
        <f t="shared" si="14"/>
        <v>36635991.688647822</v>
      </c>
      <c r="F141" s="449">
        <f t="shared" si="15"/>
        <v>0.75084554720371932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690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657</v>
      </c>
      <c r="C144" s="448">
        <f>C118+C133</f>
        <v>1929516674</v>
      </c>
      <c r="D144" s="448">
        <f>LN_ID1+LN_ID14</f>
        <v>1927491001</v>
      </c>
      <c r="E144" s="448">
        <f>D144-C144</f>
        <v>-2025673</v>
      </c>
      <c r="F144" s="449">
        <f>IF(C144=0,0,E144/C144)</f>
        <v>-1.0498344105006681E-3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658</v>
      </c>
      <c r="C145" s="448">
        <f>C119+C134</f>
        <v>250393040</v>
      </c>
      <c r="D145" s="448">
        <f>LN_1D2+LN_ID15</f>
        <v>266261176</v>
      </c>
      <c r="E145" s="448">
        <f>D145-C145</f>
        <v>15868136</v>
      </c>
      <c r="F145" s="449">
        <f>IF(C145=0,0,E145/C145)</f>
        <v>6.3372911643230972E-2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659</v>
      </c>
      <c r="C146" s="448">
        <f>C144-C145</f>
        <v>1679123634</v>
      </c>
      <c r="D146" s="448">
        <f>LN_ID23-LN_ID24</f>
        <v>1661229825</v>
      </c>
      <c r="E146" s="448">
        <f>D146-C146</f>
        <v>-17893809</v>
      </c>
      <c r="F146" s="449">
        <f>IF(C146=0,0,E146/C146)</f>
        <v>-1.0656635781710401E-2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668</v>
      </c>
      <c r="C148" s="448">
        <f>C127+C141</f>
        <v>266649709.83880651</v>
      </c>
      <c r="D148" s="448">
        <f>LN_ID10+LN_ID22</f>
        <v>217420863.23286581</v>
      </c>
      <c r="E148" s="448">
        <f>D148-C148</f>
        <v>-49228846.6059407</v>
      </c>
      <c r="F148" s="503">
        <f>IF(C148=0,0,E148/C148)</f>
        <v>-0.18461991440268294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691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692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641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642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643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644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645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646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693</v>
      </c>
      <c r="C160" s="465">
        <f>C48-C159</f>
        <v>16792.496116518199</v>
      </c>
      <c r="D160" s="465">
        <f>LN_IB7-LN_IE7</f>
        <v>18757.112241838411</v>
      </c>
      <c r="E160" s="465">
        <f t="shared" si="16"/>
        <v>1964.6161253202117</v>
      </c>
      <c r="F160" s="449">
        <f t="shared" si="17"/>
        <v>0.11699369240214899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694</v>
      </c>
      <c r="C161" s="465">
        <f>C21-C159</f>
        <v>12345.353097092478</v>
      </c>
      <c r="D161" s="465">
        <f>LN_IA7-LN_IE7</f>
        <v>9899.1003613127014</v>
      </c>
      <c r="E161" s="465">
        <f t="shared" si="16"/>
        <v>-2446.2527357797771</v>
      </c>
      <c r="F161" s="449">
        <f t="shared" si="17"/>
        <v>-0.19815170263181112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663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647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648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695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650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651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652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653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654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655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696</v>
      </c>
      <c r="C174" s="465">
        <f>C61-C173</f>
        <v>23074.976101607743</v>
      </c>
      <c r="D174" s="465">
        <f>LN_IB18-LN_IE19</f>
        <v>24328.100062864145</v>
      </c>
      <c r="E174" s="465">
        <f t="shared" si="18"/>
        <v>1253.1239612564023</v>
      </c>
      <c r="F174" s="449">
        <f t="shared" si="19"/>
        <v>5.4306620112559559E-2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697</v>
      </c>
      <c r="C175" s="465">
        <f>C32-C173</f>
        <v>11112.279662978368</v>
      </c>
      <c r="D175" s="465">
        <f>LN_IA16-LN_IE19</f>
        <v>11542.461996636253</v>
      </c>
      <c r="E175" s="465">
        <f t="shared" si="18"/>
        <v>430.18233365788547</v>
      </c>
      <c r="F175" s="449">
        <f t="shared" si="19"/>
        <v>3.871233866540269E-2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666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698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657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658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659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699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700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701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641</v>
      </c>
      <c r="C188" s="448">
        <f>C118+C153</f>
        <v>1148213273</v>
      </c>
      <c r="D188" s="448">
        <f>LN_ID1+LN_IE1</f>
        <v>1122842218</v>
      </c>
      <c r="E188" s="448">
        <f t="shared" ref="E188:E200" si="20">D188-C188</f>
        <v>-25371055</v>
      </c>
      <c r="F188" s="449">
        <f t="shared" ref="F188:F200" si="21">IF(C188=0,0,E188/C188)</f>
        <v>-2.2096117155754217E-2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642</v>
      </c>
      <c r="C189" s="448">
        <f>C119+C154</f>
        <v>130960728</v>
      </c>
      <c r="D189" s="448">
        <f>LN_1D2+LN_IE2</f>
        <v>164075205</v>
      </c>
      <c r="E189" s="448">
        <f t="shared" si="20"/>
        <v>33114477</v>
      </c>
      <c r="F189" s="449">
        <f t="shared" si="21"/>
        <v>0.25285807055073795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643</v>
      </c>
      <c r="C190" s="453">
        <f>IF(C188=0,0,C189/C188)</f>
        <v>0.11405610009874881</v>
      </c>
      <c r="D190" s="453">
        <f>IF(LN_IF1=0,0,LN_IF2/LN_IF1)</f>
        <v>0.14612489837819762</v>
      </c>
      <c r="E190" s="454">
        <f t="shared" si="20"/>
        <v>3.2068798279448807E-2</v>
      </c>
      <c r="F190" s="449">
        <f t="shared" si="21"/>
        <v>0.28116688411828838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22248</v>
      </c>
      <c r="D191" s="456">
        <f>LN_ID4+LN_IE4</f>
        <v>22682</v>
      </c>
      <c r="E191" s="456">
        <f t="shared" si="20"/>
        <v>434</v>
      </c>
      <c r="F191" s="449">
        <f t="shared" si="21"/>
        <v>1.9507371449119022E-2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644</v>
      </c>
      <c r="C192" s="459">
        <f>IF((C121+C156)=0,0,(C123+C158)/(C121+C156))</f>
        <v>1.27</v>
      </c>
      <c r="D192" s="459">
        <f>IF((LN_ID4+LN_IE4)=0,0,(LN_ID6+LN_IE6)/(LN_ID4+LN_IE4))</f>
        <v>1.3186</v>
      </c>
      <c r="E192" s="460">
        <f t="shared" si="20"/>
        <v>4.8599999999999977E-2</v>
      </c>
      <c r="F192" s="449">
        <f t="shared" si="21"/>
        <v>3.8267716535433052E-2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645</v>
      </c>
      <c r="C193" s="463">
        <f>C123+C158</f>
        <v>28254.959999999999</v>
      </c>
      <c r="D193" s="463">
        <f>LN_IF4*LN_IF5</f>
        <v>29908.485199999999</v>
      </c>
      <c r="E193" s="463">
        <f t="shared" si="20"/>
        <v>1653.5252</v>
      </c>
      <c r="F193" s="449">
        <f t="shared" si="21"/>
        <v>5.8521590545518386E-2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646</v>
      </c>
      <c r="C194" s="465">
        <f>IF(C193=0,0,C189/C193)</f>
        <v>4634.9641974364858</v>
      </c>
      <c r="D194" s="465">
        <f>IF(LN_IF6=0,0,LN_IF2/LN_IF6)</f>
        <v>5485.9082264721319</v>
      </c>
      <c r="E194" s="465">
        <f t="shared" si="20"/>
        <v>850.94402903564605</v>
      </c>
      <c r="F194" s="449">
        <f t="shared" si="21"/>
        <v>0.18359236291540024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702</v>
      </c>
      <c r="C195" s="465">
        <f>C48-C194</f>
        <v>12157.531919081714</v>
      </c>
      <c r="D195" s="465">
        <f>LN_IB7-LN_IF7</f>
        <v>13271.204015366278</v>
      </c>
      <c r="E195" s="465">
        <f t="shared" si="20"/>
        <v>1113.6720962845648</v>
      </c>
      <c r="F195" s="449">
        <f t="shared" si="21"/>
        <v>9.1603468837010704E-2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703</v>
      </c>
      <c r="C196" s="465">
        <f>C21-C194</f>
        <v>7710.3888996559926</v>
      </c>
      <c r="D196" s="465">
        <f>LN_IA7-LN_IF7</f>
        <v>4413.1921348405695</v>
      </c>
      <c r="E196" s="465">
        <f t="shared" si="20"/>
        <v>-3297.1967648154232</v>
      </c>
      <c r="F196" s="449">
        <f t="shared" si="21"/>
        <v>-0.42763040979197964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663</v>
      </c>
      <c r="C197" s="479">
        <f>C127+C162</f>
        <v>217856729.94422409</v>
      </c>
      <c r="D197" s="479">
        <f>LN_IF9*LN_IF6</f>
        <v>131991891.64963557</v>
      </c>
      <c r="E197" s="479">
        <f t="shared" si="20"/>
        <v>-85864838.294588521</v>
      </c>
      <c r="F197" s="449">
        <f t="shared" si="21"/>
        <v>-0.39413443099311979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122293</v>
      </c>
      <c r="D198" s="456">
        <f>LN_ID11+LN_IE11</f>
        <v>124601</v>
      </c>
      <c r="E198" s="456">
        <f t="shared" si="20"/>
        <v>2308</v>
      </c>
      <c r="F198" s="449">
        <f t="shared" si="21"/>
        <v>1.8872707350379825E-2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647</v>
      </c>
      <c r="C199" s="519">
        <f>IF(C198=0,0,C189/C198)</f>
        <v>1070.8767304751702</v>
      </c>
      <c r="D199" s="519">
        <f>IF(LN_IF11=0,0,LN_IF2/LN_IF11)</f>
        <v>1316.8048811807289</v>
      </c>
      <c r="E199" s="519">
        <f t="shared" si="20"/>
        <v>245.92815070555866</v>
      </c>
      <c r="F199" s="449">
        <f t="shared" si="21"/>
        <v>0.22965122287831882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648</v>
      </c>
      <c r="C200" s="466">
        <f>IF(C191=0,0,C198/C191)</f>
        <v>5.4968087019057892</v>
      </c>
      <c r="D200" s="466">
        <f>IF(LN_IF4=0,0,LN_IF11/LN_IF4)</f>
        <v>5.4933868265585044</v>
      </c>
      <c r="E200" s="466">
        <f t="shared" si="20"/>
        <v>-3.4218753472847752E-3</v>
      </c>
      <c r="F200" s="449">
        <f t="shared" si="21"/>
        <v>-6.2252036278766308E-4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704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650</v>
      </c>
      <c r="C203" s="448">
        <f>C133+C168</f>
        <v>781303401</v>
      </c>
      <c r="D203" s="448">
        <f>LN_ID14+LN_IE14</f>
        <v>804648783</v>
      </c>
      <c r="E203" s="448">
        <f t="shared" ref="E203:E211" si="22">D203-C203</f>
        <v>23345382</v>
      </c>
      <c r="F203" s="449">
        <f t="shared" ref="F203:F211" si="23">IF(C203=0,0,E203/C203)</f>
        <v>2.9880046560811016E-2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651</v>
      </c>
      <c r="C204" s="448">
        <f>C134+C169</f>
        <v>119432312</v>
      </c>
      <c r="D204" s="448">
        <f>LN_ID15+LN_IE15</f>
        <v>102185971</v>
      </c>
      <c r="E204" s="448">
        <f t="shared" si="22"/>
        <v>-17246341</v>
      </c>
      <c r="F204" s="449">
        <f t="shared" si="23"/>
        <v>-0.14440263870969861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652</v>
      </c>
      <c r="C205" s="453">
        <f>IF(C203=0,0,C204/C203)</f>
        <v>0.15286291067866475</v>
      </c>
      <c r="D205" s="453">
        <f>IF(LN_IF14=0,0,LN_IF15/LN_IF14)</f>
        <v>0.126994501400992</v>
      </c>
      <c r="E205" s="454">
        <f t="shared" si="22"/>
        <v>-2.5868409277672755E-2</v>
      </c>
      <c r="F205" s="449">
        <f t="shared" si="23"/>
        <v>-0.1692261985776988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653</v>
      </c>
      <c r="C206" s="453">
        <f>IF(C188=0,0,C203/C188)</f>
        <v>0.6804514626090723</v>
      </c>
      <c r="D206" s="453">
        <f>IF(LN_IF1=0,0,LN_IF14/LN_IF1)</f>
        <v>0.71661785609846029</v>
      </c>
      <c r="E206" s="454">
        <f t="shared" si="22"/>
        <v>3.6166393489387993E-2</v>
      </c>
      <c r="F206" s="449">
        <f t="shared" si="23"/>
        <v>5.3150585275714264E-2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654</v>
      </c>
      <c r="C207" s="463">
        <f>C137+C172</f>
        <v>15138.684140126641</v>
      </c>
      <c r="D207" s="463">
        <f>LN_ID18+LN_IE18</f>
        <v>16254.326212025277</v>
      </c>
      <c r="E207" s="463">
        <f t="shared" si="22"/>
        <v>1115.6420718986355</v>
      </c>
      <c r="F207" s="449">
        <f t="shared" si="23"/>
        <v>7.3694784934544705E-2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655</v>
      </c>
      <c r="C208" s="465">
        <f>IF(C207=0,0,C204/C207)</f>
        <v>7889.2135468651704</v>
      </c>
      <c r="D208" s="465">
        <f>IF(LN_IF18=0,0,LN_IF15/LN_IF18)</f>
        <v>6286.6937495324028</v>
      </c>
      <c r="E208" s="465">
        <f t="shared" si="22"/>
        <v>-1602.5197973327677</v>
      </c>
      <c r="F208" s="449">
        <f t="shared" si="23"/>
        <v>-0.20312795284512727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705</v>
      </c>
      <c r="C209" s="465">
        <f>C61-C208</f>
        <v>15185.762554742572</v>
      </c>
      <c r="D209" s="465">
        <f>LN_IB18-LN_IF19</f>
        <v>18041.406313331743</v>
      </c>
      <c r="E209" s="465">
        <f t="shared" si="22"/>
        <v>2855.6437585891708</v>
      </c>
      <c r="F209" s="449">
        <f t="shared" si="23"/>
        <v>0.18804743905977525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706</v>
      </c>
      <c r="C210" s="465">
        <f>C32-C208</f>
        <v>3223.0661161131975</v>
      </c>
      <c r="D210" s="465">
        <f>LN_IA16-LN_IF19</f>
        <v>5255.7682471038506</v>
      </c>
      <c r="E210" s="465">
        <f t="shared" si="22"/>
        <v>2032.7021309906531</v>
      </c>
      <c r="F210" s="449">
        <f t="shared" si="23"/>
        <v>0.63067342020335471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666</v>
      </c>
      <c r="C211" s="479">
        <f>C141+C176</f>
        <v>48792979.894582435</v>
      </c>
      <c r="D211" s="441">
        <f>LN_IF21*LN_IF18</f>
        <v>85428971.583230257</v>
      </c>
      <c r="E211" s="441">
        <f t="shared" si="22"/>
        <v>36635991.688647822</v>
      </c>
      <c r="F211" s="449">
        <f t="shared" si="23"/>
        <v>0.75084554720371932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707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657</v>
      </c>
      <c r="C214" s="448">
        <f>C188+C203</f>
        <v>1929516674</v>
      </c>
      <c r="D214" s="448">
        <f>LN_IF1+LN_IF14</f>
        <v>1927491001</v>
      </c>
      <c r="E214" s="448">
        <f>D214-C214</f>
        <v>-2025673</v>
      </c>
      <c r="F214" s="449">
        <f>IF(C214=0,0,E214/C214)</f>
        <v>-1.0498344105006681E-3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658</v>
      </c>
      <c r="C215" s="448">
        <f>C189+C204</f>
        <v>250393040</v>
      </c>
      <c r="D215" s="448">
        <f>LN_IF2+LN_IF15</f>
        <v>266261176</v>
      </c>
      <c r="E215" s="448">
        <f>D215-C215</f>
        <v>15868136</v>
      </c>
      <c r="F215" s="449">
        <f>IF(C215=0,0,E215/C215)</f>
        <v>6.3372911643230972E-2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659</v>
      </c>
      <c r="C216" s="448">
        <f>C214-C215</f>
        <v>1679123634</v>
      </c>
      <c r="D216" s="448">
        <f>LN_IF23-LN_IF24</f>
        <v>1661229825</v>
      </c>
      <c r="E216" s="448">
        <f>D216-C216</f>
        <v>-17893809</v>
      </c>
      <c r="F216" s="449">
        <f>IF(C216=0,0,E216/C216)</f>
        <v>-1.0656635781710401E-2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708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709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641</v>
      </c>
      <c r="C221" s="448">
        <v>20042376</v>
      </c>
      <c r="D221" s="448">
        <v>39983192</v>
      </c>
      <c r="E221" s="448">
        <f t="shared" ref="E221:E230" si="24">D221-C221</f>
        <v>19940816</v>
      </c>
      <c r="F221" s="449">
        <f t="shared" ref="F221:F230" si="25">IF(C221=0,0,E221/C221)</f>
        <v>0.99493273651786596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642</v>
      </c>
      <c r="C222" s="448">
        <v>4483239</v>
      </c>
      <c r="D222" s="448">
        <v>20399400</v>
      </c>
      <c r="E222" s="448">
        <f t="shared" si="24"/>
        <v>15916161</v>
      </c>
      <c r="F222" s="449">
        <f t="shared" si="25"/>
        <v>3.5501477837786477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643</v>
      </c>
      <c r="C223" s="453">
        <f>IF(C221=0,0,C222/C221)</f>
        <v>0.22368799986588417</v>
      </c>
      <c r="D223" s="453">
        <f>IF(LN_IG1=0,0,LN_IG2/LN_IG1)</f>
        <v>0.5101993857819056</v>
      </c>
      <c r="E223" s="454">
        <f t="shared" si="24"/>
        <v>0.28651138591602143</v>
      </c>
      <c r="F223" s="449">
        <f t="shared" si="25"/>
        <v>1.280852732769769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413</v>
      </c>
      <c r="D224" s="456">
        <v>608</v>
      </c>
      <c r="E224" s="456">
        <f t="shared" si="24"/>
        <v>195</v>
      </c>
      <c r="F224" s="449">
        <f t="shared" si="25"/>
        <v>0.4721549636803874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644</v>
      </c>
      <c r="C225" s="459">
        <v>1.32</v>
      </c>
      <c r="D225" s="459">
        <v>1.2335</v>
      </c>
      <c r="E225" s="460">
        <f t="shared" si="24"/>
        <v>-8.6500000000000021E-2</v>
      </c>
      <c r="F225" s="449">
        <f t="shared" si="25"/>
        <v>-6.553030303030305E-2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645</v>
      </c>
      <c r="C226" s="463">
        <f>C224*C225</f>
        <v>545.16000000000008</v>
      </c>
      <c r="D226" s="463">
        <f>LN_IG3*LN_IG4</f>
        <v>749.96800000000007</v>
      </c>
      <c r="E226" s="463">
        <f t="shared" si="24"/>
        <v>204.80799999999999</v>
      </c>
      <c r="F226" s="449">
        <f t="shared" si="25"/>
        <v>0.37568420280284681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646</v>
      </c>
      <c r="C227" s="465">
        <f>IF(C226=0,0,C222/C226)</f>
        <v>8223.7123046445067</v>
      </c>
      <c r="D227" s="465">
        <f>IF(LN_IG5=0,0,LN_IG2/LN_IG5)</f>
        <v>27200.360548716744</v>
      </c>
      <c r="E227" s="465">
        <f t="shared" si="24"/>
        <v>18976.648244072239</v>
      </c>
      <c r="F227" s="449">
        <f t="shared" si="25"/>
        <v>2.307552543314872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1577</v>
      </c>
      <c r="D228" s="456">
        <v>2595</v>
      </c>
      <c r="E228" s="456">
        <f t="shared" si="24"/>
        <v>1018</v>
      </c>
      <c r="F228" s="449">
        <f t="shared" si="25"/>
        <v>0.64552948636651875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647</v>
      </c>
      <c r="C229" s="465">
        <f>IF(C228=0,0,C222/C228)</f>
        <v>2842.8909321496512</v>
      </c>
      <c r="D229" s="465">
        <f>IF(LN_IG6=0,0,LN_IG2/LN_IG6)</f>
        <v>7861.0404624277453</v>
      </c>
      <c r="E229" s="465">
        <f t="shared" si="24"/>
        <v>5018.1495302780941</v>
      </c>
      <c r="F229" s="449">
        <f t="shared" si="25"/>
        <v>1.7651572466354246</v>
      </c>
      <c r="Q229" s="421"/>
      <c r="U229" s="462"/>
    </row>
    <row r="230" spans="1:21" ht="15.75" customHeight="1" x14ac:dyDescent="0.2">
      <c r="A230" s="451">
        <v>10</v>
      </c>
      <c r="B230" s="447" t="s">
        <v>648</v>
      </c>
      <c r="C230" s="466">
        <f>IF(C224=0,0,C228/C224)</f>
        <v>3.8184019370460049</v>
      </c>
      <c r="D230" s="466">
        <f>IF(LN_IG3=0,0,LN_IG6/LN_IG3)</f>
        <v>4.2680921052631575</v>
      </c>
      <c r="E230" s="466">
        <f t="shared" si="24"/>
        <v>0.44969016821715257</v>
      </c>
      <c r="F230" s="449">
        <f t="shared" si="25"/>
        <v>0.11776920702199366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710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650</v>
      </c>
      <c r="C233" s="448">
        <v>19908475</v>
      </c>
      <c r="D233" s="448">
        <v>18820897</v>
      </c>
      <c r="E233" s="448">
        <f>D233-C233</f>
        <v>-1087578</v>
      </c>
      <c r="F233" s="449">
        <f>IF(C233=0,0,E233/C233)</f>
        <v>-5.4628895482953868E-2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651</v>
      </c>
      <c r="C234" s="448">
        <v>1519605</v>
      </c>
      <c r="D234" s="448">
        <v>5383617</v>
      </c>
      <c r="E234" s="448">
        <f>D234-C234</f>
        <v>3864012</v>
      </c>
      <c r="F234" s="449">
        <f>IF(C234=0,0,E234/C234)</f>
        <v>2.5427739445447997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711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657</v>
      </c>
      <c r="C237" s="448">
        <f>C221+C233</f>
        <v>39950851</v>
      </c>
      <c r="D237" s="448">
        <f>LN_IG1+LN_IG9</f>
        <v>58804089</v>
      </c>
      <c r="E237" s="448">
        <f>D237-C237</f>
        <v>18853238</v>
      </c>
      <c r="F237" s="449">
        <f>IF(C237=0,0,E237/C237)</f>
        <v>0.47191079859600488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658</v>
      </c>
      <c r="C238" s="448">
        <f>C222+C234</f>
        <v>6002844</v>
      </c>
      <c r="D238" s="448">
        <f>LN_IG2+LN_IG10</f>
        <v>25783017</v>
      </c>
      <c r="E238" s="448">
        <f>D238-C238</f>
        <v>19780173</v>
      </c>
      <c r="F238" s="449">
        <f>IF(C238=0,0,E238/C238)</f>
        <v>3.2951336066704382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659</v>
      </c>
      <c r="C239" s="448">
        <f>C237-C238</f>
        <v>33948007</v>
      </c>
      <c r="D239" s="448">
        <f>LN_IG13-LN_IG14</f>
        <v>33021072</v>
      </c>
      <c r="E239" s="448">
        <f>D239-C239</f>
        <v>-926935</v>
      </c>
      <c r="F239" s="449">
        <f>IF(C239=0,0,E239/C239)</f>
        <v>-2.7304548393665643E-2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712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713</v>
      </c>
      <c r="C243" s="448">
        <v>3237338</v>
      </c>
      <c r="D243" s="448">
        <v>4142430</v>
      </c>
      <c r="E243" s="441">
        <f>D243-C243</f>
        <v>905092</v>
      </c>
      <c r="F243" s="503">
        <f>IF(C243=0,0,E243/C243)</f>
        <v>0.27957908627396955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714</v>
      </c>
      <c r="C244" s="448">
        <v>2413364000</v>
      </c>
      <c r="D244" s="448">
        <v>2580344000</v>
      </c>
      <c r="E244" s="441">
        <f>D244-C244</f>
        <v>166980000</v>
      </c>
      <c r="F244" s="503">
        <f>IF(C244=0,0,E244/C244)</f>
        <v>6.9189728528311525E-2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715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716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717</v>
      </c>
      <c r="C248" s="441">
        <v>41146000</v>
      </c>
      <c r="D248" s="441">
        <v>45213000</v>
      </c>
      <c r="E248" s="441">
        <f>D248-C248</f>
        <v>4067000</v>
      </c>
      <c r="F248" s="449">
        <f>IF(C248=0,0,E248/C248)</f>
        <v>9.8843143926505617E-2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718</v>
      </c>
      <c r="C249" s="441">
        <v>134519000</v>
      </c>
      <c r="D249" s="441">
        <v>149038000</v>
      </c>
      <c r="E249" s="441">
        <f>D249-C249</f>
        <v>14519000</v>
      </c>
      <c r="F249" s="449">
        <f>IF(C249=0,0,E249/C249)</f>
        <v>0.10793270839063626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719</v>
      </c>
      <c r="C250" s="441">
        <f>C248+C249</f>
        <v>175665000</v>
      </c>
      <c r="D250" s="441">
        <f>LN_IH4+LN_IH5</f>
        <v>194251000</v>
      </c>
      <c r="E250" s="441">
        <f>D250-C250</f>
        <v>18586000</v>
      </c>
      <c r="F250" s="449">
        <f>IF(C250=0,0,E250/C250)</f>
        <v>0.1058036603762844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720</v>
      </c>
      <c r="C251" s="441">
        <f>C250*C313</f>
        <v>49871409.675459579</v>
      </c>
      <c r="D251" s="441">
        <f>LN_IH6*LN_III10</f>
        <v>54903082.283985108</v>
      </c>
      <c r="E251" s="441">
        <f>D251-C251</f>
        <v>5031672.6085255295</v>
      </c>
      <c r="F251" s="449">
        <f>IF(C251=0,0,E251/C251)</f>
        <v>0.10089292926086034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721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657</v>
      </c>
      <c r="C254" s="441">
        <f>C188+C203</f>
        <v>1929516674</v>
      </c>
      <c r="D254" s="441">
        <f>LN_IF23</f>
        <v>1927491001</v>
      </c>
      <c r="E254" s="441">
        <f>D254-C254</f>
        <v>-2025673</v>
      </c>
      <c r="F254" s="449">
        <f>IF(C254=0,0,E254/C254)</f>
        <v>-1.0498344105006681E-3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658</v>
      </c>
      <c r="C255" s="441">
        <f>C189+C204</f>
        <v>250393040</v>
      </c>
      <c r="D255" s="441">
        <f>LN_IF24</f>
        <v>266261176</v>
      </c>
      <c r="E255" s="441">
        <f>D255-C255</f>
        <v>15868136</v>
      </c>
      <c r="F255" s="449">
        <f>IF(C255=0,0,E255/C255)</f>
        <v>6.3372911643230972E-2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722</v>
      </c>
      <c r="C256" s="441">
        <f>C254*C313</f>
        <v>547791059.82799184</v>
      </c>
      <c r="D256" s="441">
        <f>LN_IH8*LN_III10</f>
        <v>544785854.53636694</v>
      </c>
      <c r="E256" s="441">
        <f>D256-C256</f>
        <v>-3005205.2916249037</v>
      </c>
      <c r="F256" s="449">
        <f>IF(C256=0,0,E256/C256)</f>
        <v>-5.4860429678581244E-3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723</v>
      </c>
      <c r="C257" s="441">
        <f>C256-C255</f>
        <v>297398019.82799184</v>
      </c>
      <c r="D257" s="441">
        <f>LN_IH10-LN_IH9</f>
        <v>278524678.53636694</v>
      </c>
      <c r="E257" s="441">
        <f>D257-C257</f>
        <v>-18873341.291624904</v>
      </c>
      <c r="F257" s="449">
        <f>IF(C257=0,0,E257/C257)</f>
        <v>-6.3461556679297357E-2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724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725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4627986391</v>
      </c>
      <c r="D261" s="448">
        <f>LN_IA1+LN_IB1+LN_IF1+LN_IG1</f>
        <v>4646424246</v>
      </c>
      <c r="E261" s="448">
        <f t="shared" ref="E261:E274" si="26">D261-C261</f>
        <v>18437855</v>
      </c>
      <c r="F261" s="503">
        <f t="shared" ref="F261:F274" si="27">IF(C261=0,0,E261/C261)</f>
        <v>3.983990755862186E-3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1446941593</v>
      </c>
      <c r="D262" s="448">
        <f>+LN_IA2+LN_IB2+LN_IF2+LN_IG2</f>
        <v>1488350065</v>
      </c>
      <c r="E262" s="448">
        <f t="shared" si="26"/>
        <v>41408472</v>
      </c>
      <c r="F262" s="503">
        <f t="shared" si="27"/>
        <v>2.8617929155071293E-2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726</v>
      </c>
      <c r="C263" s="453">
        <f>IF(C261=0,0,C262/C261)</f>
        <v>0.31265035606281238</v>
      </c>
      <c r="D263" s="453">
        <f>IF(LN_IIA1=0,0,LN_IIA2/LN_IIA1)</f>
        <v>0.32032160349569594</v>
      </c>
      <c r="E263" s="454">
        <f t="shared" si="26"/>
        <v>7.6712474328835545E-3</v>
      </c>
      <c r="F263" s="458">
        <f t="shared" si="27"/>
        <v>2.4536186459171595E-2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78452</v>
      </c>
      <c r="D264" s="456">
        <f>LN_IA4+LN_IB4+LN_IF4+LN_IG3</f>
        <v>79490</v>
      </c>
      <c r="E264" s="456">
        <f t="shared" si="26"/>
        <v>1038</v>
      </c>
      <c r="F264" s="503">
        <f t="shared" si="27"/>
        <v>1.3231020241676439E-2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727</v>
      </c>
      <c r="C265" s="525">
        <f>IF(C264=0,0,C266/C264)</f>
        <v>1.5341833222862387</v>
      </c>
      <c r="D265" s="525">
        <f>IF(LN_IIA4=0,0,LN_IIA6/LN_IIA4)</f>
        <v>1.5751177204679832</v>
      </c>
      <c r="E265" s="525">
        <f t="shared" si="26"/>
        <v>4.0934398181744491E-2</v>
      </c>
      <c r="F265" s="503">
        <f t="shared" si="27"/>
        <v>2.6681555969950244E-2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728</v>
      </c>
      <c r="C266" s="463">
        <f>C20+C47+C193+C226</f>
        <v>120359.75</v>
      </c>
      <c r="D266" s="463">
        <f>LN_IA6+LN_IB6+LN_IF6+LN_IG5</f>
        <v>125206.10759999999</v>
      </c>
      <c r="E266" s="463">
        <f t="shared" si="26"/>
        <v>4846.3575999999885</v>
      </c>
      <c r="F266" s="503">
        <f t="shared" si="27"/>
        <v>4.0265600418744545E-2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4095528402</v>
      </c>
      <c r="D267" s="448">
        <f>LN_IA11+LN_IB13+LN_IF14+LN_IG9</f>
        <v>4249015335</v>
      </c>
      <c r="E267" s="448">
        <f t="shared" si="26"/>
        <v>153486933</v>
      </c>
      <c r="F267" s="503">
        <f t="shared" si="27"/>
        <v>3.7476710679151093E-2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653</v>
      </c>
      <c r="C268" s="453">
        <f>IF(C261=0,0,C267/C261)</f>
        <v>0.88494823795604372</v>
      </c>
      <c r="D268" s="453">
        <f>IF(LN_IIA1=0,0,LN_IIA7/LN_IIA1)</f>
        <v>0.91446994721970987</v>
      </c>
      <c r="E268" s="454">
        <f t="shared" si="26"/>
        <v>2.9521709263666152E-2</v>
      </c>
      <c r="F268" s="458">
        <f t="shared" si="27"/>
        <v>3.3359814729788211E-2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1108695215</v>
      </c>
      <c r="D269" s="448">
        <f>LN_IA12+LN_IB14+LN_IF15+LN_IG10</f>
        <v>1176190992</v>
      </c>
      <c r="E269" s="448">
        <f t="shared" si="26"/>
        <v>67495777</v>
      </c>
      <c r="F269" s="503">
        <f t="shared" si="27"/>
        <v>6.087856796603925E-2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652</v>
      </c>
      <c r="C270" s="453">
        <f>IF(C267=0,0,C269/C267)</f>
        <v>0.27070871110516109</v>
      </c>
      <c r="D270" s="453">
        <f>IF(LN_IIA7=0,0,LN_IIA9/LN_IIA7)</f>
        <v>0.27681495576433357</v>
      </c>
      <c r="E270" s="454">
        <f t="shared" si="26"/>
        <v>6.1062446591724773E-3</v>
      </c>
      <c r="F270" s="458">
        <f t="shared" si="27"/>
        <v>2.2556513361701204E-2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729</v>
      </c>
      <c r="C271" s="441">
        <f>C261+C267</f>
        <v>8723514793</v>
      </c>
      <c r="D271" s="441">
        <f>LN_IIA1+LN_IIA7</f>
        <v>8895439581</v>
      </c>
      <c r="E271" s="441">
        <f t="shared" si="26"/>
        <v>171924788</v>
      </c>
      <c r="F271" s="503">
        <f t="shared" si="27"/>
        <v>1.9708201576955818E-2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730</v>
      </c>
      <c r="C272" s="441">
        <f>C262+C269</f>
        <v>2555636808</v>
      </c>
      <c r="D272" s="441">
        <f>LN_IIA2+LN_IIA9</f>
        <v>2664541057</v>
      </c>
      <c r="E272" s="441">
        <f t="shared" si="26"/>
        <v>108904249</v>
      </c>
      <c r="F272" s="503">
        <f t="shared" si="27"/>
        <v>4.2613351263017185E-2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731</v>
      </c>
      <c r="C273" s="453">
        <f>IF(C271=0,0,C272/C271)</f>
        <v>0.29295953163863686</v>
      </c>
      <c r="D273" s="453">
        <f>IF(LN_IIA11=0,0,LN_IIA12/LN_IIA11)</f>
        <v>0.29954012196218638</v>
      </c>
      <c r="E273" s="454">
        <f t="shared" si="26"/>
        <v>6.5805903235495178E-3</v>
      </c>
      <c r="F273" s="458">
        <f t="shared" si="27"/>
        <v>2.2462455093171779E-2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428640</v>
      </c>
      <c r="D274" s="508">
        <f>LN_IA8+LN_IB10+LN_IF11+LN_IG6</f>
        <v>437574</v>
      </c>
      <c r="E274" s="528">
        <f t="shared" si="26"/>
        <v>8934</v>
      </c>
      <c r="F274" s="458">
        <f t="shared" si="27"/>
        <v>2.0842665173572229E-2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732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733</v>
      </c>
      <c r="C277" s="448">
        <f>C15+C188+C221</f>
        <v>3132723203</v>
      </c>
      <c r="D277" s="448">
        <f>LN_IA1+LN_IF1+LN_IG1</f>
        <v>3151700931</v>
      </c>
      <c r="E277" s="448">
        <f t="shared" ref="E277:E291" si="28">D277-C277</f>
        <v>18977728</v>
      </c>
      <c r="F277" s="503">
        <f t="shared" ref="F277:F291" si="29">IF(C277=0,0,E277/C277)</f>
        <v>6.0579013114935585E-3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734</v>
      </c>
      <c r="C278" s="448">
        <f>C16+C189+C222</f>
        <v>762871724</v>
      </c>
      <c r="D278" s="448">
        <f>LN_IA2+LN_IF2+LN_IG2</f>
        <v>709228481</v>
      </c>
      <c r="E278" s="448">
        <f t="shared" si="28"/>
        <v>-53643243</v>
      </c>
      <c r="F278" s="503">
        <f t="shared" si="29"/>
        <v>-7.0317513826216996E-2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735</v>
      </c>
      <c r="C279" s="453">
        <f>IF(C277=0,0,C278/C277)</f>
        <v>0.24351711739787563</v>
      </c>
      <c r="D279" s="453">
        <f>IF(D277=0,0,LN_IIB2/D277)</f>
        <v>0.22503038725028063</v>
      </c>
      <c r="E279" s="454">
        <f t="shared" si="28"/>
        <v>-1.8486730147594999E-2</v>
      </c>
      <c r="F279" s="458">
        <f t="shared" si="29"/>
        <v>-7.5915526370945258E-2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736</v>
      </c>
      <c r="C280" s="456">
        <f>C18+C191+C224</f>
        <v>50740</v>
      </c>
      <c r="D280" s="456">
        <f>LN_IA4+LN_IF4+LN_IG3</f>
        <v>51938</v>
      </c>
      <c r="E280" s="456">
        <f t="shared" si="28"/>
        <v>1198</v>
      </c>
      <c r="F280" s="503">
        <f t="shared" si="29"/>
        <v>2.3610563657863619E-2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737</v>
      </c>
      <c r="C281" s="525">
        <f>IF(C280=0,0,C282/C280)</f>
        <v>1.5692374852187623</v>
      </c>
      <c r="D281" s="525">
        <f>IF(LN_IIB4=0,0,LN_IIB6/LN_IIB4)</f>
        <v>1.6109344295121104</v>
      </c>
      <c r="E281" s="525">
        <f t="shared" si="28"/>
        <v>4.1696944293348137E-2</v>
      </c>
      <c r="F281" s="503">
        <f t="shared" si="29"/>
        <v>2.6571468427250385E-2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738</v>
      </c>
      <c r="C282" s="463">
        <f>C20+C193+C226</f>
        <v>79623.11</v>
      </c>
      <c r="D282" s="463">
        <f>LN_IA6+LN_IF6+LN_IG5</f>
        <v>83668.712399999989</v>
      </c>
      <c r="E282" s="463">
        <f t="shared" si="28"/>
        <v>4045.6023999999888</v>
      </c>
      <c r="F282" s="503">
        <f t="shared" si="29"/>
        <v>5.080939943189846E-2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739</v>
      </c>
      <c r="C283" s="448">
        <f>C27+C203+C233</f>
        <v>2367615161</v>
      </c>
      <c r="D283" s="448">
        <f>LN_IA11+LN_IF14+LN_IG9</f>
        <v>2480290275</v>
      </c>
      <c r="E283" s="448">
        <f t="shared" si="28"/>
        <v>112675114</v>
      </c>
      <c r="F283" s="503">
        <f t="shared" si="29"/>
        <v>4.7590130294827927E-2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740</v>
      </c>
      <c r="C284" s="453">
        <f>IF(C277=0,0,C283/C277)</f>
        <v>0.75576902508740418</v>
      </c>
      <c r="D284" s="453">
        <f>IF(D277=0,0,LN_IIB7/D277)</f>
        <v>0.78696879218582172</v>
      </c>
      <c r="E284" s="454">
        <f t="shared" si="28"/>
        <v>3.1199767098417541E-2</v>
      </c>
      <c r="F284" s="458">
        <f t="shared" si="29"/>
        <v>4.1282145818041842E-2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741</v>
      </c>
      <c r="C285" s="448">
        <f>C28+C204+C234</f>
        <v>369747992</v>
      </c>
      <c r="D285" s="448">
        <f>LN_IA12+LN_IF15+LN_IG10</f>
        <v>383030920</v>
      </c>
      <c r="E285" s="448">
        <f t="shared" si="28"/>
        <v>13282928</v>
      </c>
      <c r="F285" s="503">
        <f t="shared" si="29"/>
        <v>3.5924273525196046E-2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742</v>
      </c>
      <c r="C286" s="453">
        <f>IF(C283=0,0,C285/C283)</f>
        <v>0.15616895773037331</v>
      </c>
      <c r="D286" s="453">
        <f>IF(LN_IIB7=0,0,LN_IIB9/LN_IIB7)</f>
        <v>0.15442987615633014</v>
      </c>
      <c r="E286" s="454">
        <f t="shared" si="28"/>
        <v>-1.7390815740431775E-3</v>
      </c>
      <c r="F286" s="458">
        <f t="shared" si="29"/>
        <v>-1.1135897935911904E-2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743</v>
      </c>
      <c r="C287" s="441">
        <f>C277+C283</f>
        <v>5500338364</v>
      </c>
      <c r="D287" s="441">
        <f>D277+LN_IIB7</f>
        <v>5631991206</v>
      </c>
      <c r="E287" s="441">
        <f t="shared" si="28"/>
        <v>131652842</v>
      </c>
      <c r="F287" s="503">
        <f t="shared" si="29"/>
        <v>2.3935407839938482E-2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744</v>
      </c>
      <c r="C288" s="441">
        <f>C278+C285</f>
        <v>1132619716</v>
      </c>
      <c r="D288" s="441">
        <f>LN_IIB2+LN_IIB9</f>
        <v>1092259401</v>
      </c>
      <c r="E288" s="441">
        <f t="shared" si="28"/>
        <v>-40360315</v>
      </c>
      <c r="F288" s="503">
        <f t="shared" si="29"/>
        <v>-3.5634480337794157E-2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745</v>
      </c>
      <c r="C289" s="453">
        <f>IF(C287=0,0,C288/C287)</f>
        <v>0.2059181892177861</v>
      </c>
      <c r="D289" s="453">
        <f>IF(LN_IIB11=0,0,LN_IIB12/LN_IIB11)</f>
        <v>0.19393840669288859</v>
      </c>
      <c r="E289" s="454">
        <f t="shared" si="28"/>
        <v>-1.1979782524897509E-2</v>
      </c>
      <c r="F289" s="458">
        <f t="shared" si="29"/>
        <v>-5.8177388653254336E-2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303679</v>
      </c>
      <c r="D290" s="508">
        <f>LN_IA8+LN_IF11+LN_IG6</f>
        <v>314555</v>
      </c>
      <c r="E290" s="528">
        <f t="shared" si="28"/>
        <v>10876</v>
      </c>
      <c r="F290" s="458">
        <f t="shared" si="29"/>
        <v>3.5814132686158739E-2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746</v>
      </c>
      <c r="C291" s="448">
        <f>C287-C288</f>
        <v>4367718648</v>
      </c>
      <c r="D291" s="516">
        <f>LN_IIB11-LN_IIB12</f>
        <v>4539731805</v>
      </c>
      <c r="E291" s="441">
        <f t="shared" si="28"/>
        <v>172013157</v>
      </c>
      <c r="F291" s="503">
        <f t="shared" si="29"/>
        <v>3.9382838241828068E-2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648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639</v>
      </c>
      <c r="C294" s="466">
        <f>IF(C18=0,0,C22/C18)</f>
        <v>6.4036824673243347</v>
      </c>
      <c r="D294" s="466">
        <f>IF(LN_IA4=0,0,LN_IA8/LN_IA4)</f>
        <v>6.5400376989667688</v>
      </c>
      <c r="E294" s="466">
        <f t="shared" ref="E294:E300" si="30">D294-C294</f>
        <v>0.13635523164243413</v>
      </c>
      <c r="F294" s="503">
        <f t="shared" ref="F294:F300" si="31">IF(C294=0,0,E294/C294)</f>
        <v>2.1293253114626678E-2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660</v>
      </c>
      <c r="C295" s="466">
        <f>IF(C45=0,0,C51/C45)</f>
        <v>4.50927396073903</v>
      </c>
      <c r="D295" s="466">
        <f>IF(LN_IB4=0,0,(LN_IB10)/(LN_IB4))</f>
        <v>4.4649753193960509</v>
      </c>
      <c r="E295" s="466">
        <f t="shared" si="30"/>
        <v>-4.4298641342979117E-2</v>
      </c>
      <c r="F295" s="503">
        <f t="shared" si="31"/>
        <v>-9.8238966469269395E-3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675</v>
      </c>
      <c r="C296" s="466">
        <f>IF(C86=0,0,C93/C86)</f>
        <v>4.8737864077669899</v>
      </c>
      <c r="D296" s="466">
        <f>IF(LN_IC4=0,0,LN_IC11/LN_IC4)</f>
        <v>4.0617707618393961</v>
      </c>
      <c r="E296" s="466">
        <f t="shared" si="30"/>
        <v>-0.81201564592759379</v>
      </c>
      <c r="F296" s="503">
        <f t="shared" si="31"/>
        <v>-0.16660878790944655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5.4968087019057892</v>
      </c>
      <c r="D297" s="466">
        <f>IF(LN_ID4=0,0,LN_ID11/LN_ID4)</f>
        <v>5.4933868265585044</v>
      </c>
      <c r="E297" s="466">
        <f t="shared" si="30"/>
        <v>-3.4218753472847752E-3</v>
      </c>
      <c r="F297" s="503">
        <f t="shared" si="31"/>
        <v>-6.2252036278766308E-4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747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3.8184019370460049</v>
      </c>
      <c r="D299" s="466">
        <f>IF(LN_IG3=0,0,LN_IG6/LN_IG3)</f>
        <v>4.2680921052631575</v>
      </c>
      <c r="E299" s="466">
        <f t="shared" si="30"/>
        <v>0.44969016821715257</v>
      </c>
      <c r="F299" s="503">
        <f t="shared" si="31"/>
        <v>0.11776920702199366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748</v>
      </c>
      <c r="C300" s="466">
        <f>IF(C264=0,0,C274/C264)</f>
        <v>5.4637230408402591</v>
      </c>
      <c r="D300" s="466">
        <f>IF(LN_IIA4=0,0,LN_IIA14/LN_IIA4)</f>
        <v>5.5047678953327459</v>
      </c>
      <c r="E300" s="466">
        <f t="shared" si="30"/>
        <v>4.1044854492486849E-2</v>
      </c>
      <c r="F300" s="503">
        <f t="shared" si="31"/>
        <v>7.5122501974724202E-3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749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743</v>
      </c>
      <c r="C304" s="441">
        <f>C35+C66+C214+C221+C233</f>
        <v>8723514793</v>
      </c>
      <c r="D304" s="441">
        <f>LN_IIA11</f>
        <v>8895439581</v>
      </c>
      <c r="E304" s="441">
        <f t="shared" ref="E304:E316" si="32">D304-C304</f>
        <v>171924788</v>
      </c>
      <c r="F304" s="449">
        <f>IF(C304=0,0,E304/C304)</f>
        <v>1.9708201576955818E-2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746</v>
      </c>
      <c r="C305" s="441">
        <f>C291</f>
        <v>4367718648</v>
      </c>
      <c r="D305" s="441">
        <f>LN_IIB14</f>
        <v>4539731805</v>
      </c>
      <c r="E305" s="441">
        <f t="shared" si="32"/>
        <v>172013157</v>
      </c>
      <c r="F305" s="449">
        <f>IF(C305=0,0,E305/C305)</f>
        <v>3.9382838241828068E-2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750</v>
      </c>
      <c r="C306" s="441">
        <f>C250</f>
        <v>175665000</v>
      </c>
      <c r="D306" s="441">
        <f>LN_IH6</f>
        <v>194251000</v>
      </c>
      <c r="E306" s="441">
        <f t="shared" si="32"/>
        <v>18586000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751</v>
      </c>
      <c r="C307" s="441">
        <f>C73-C74</f>
        <v>1703519526</v>
      </c>
      <c r="D307" s="441">
        <f>LN_IB32-LN_IB33</f>
        <v>1647250665</v>
      </c>
      <c r="E307" s="441">
        <f t="shared" si="32"/>
        <v>-56268861</v>
      </c>
      <c r="F307" s="449">
        <f t="shared" ref="F307:F316" si="33">IF(C307=0,0,E307/C307)</f>
        <v>-3.3030945722191854E-2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752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753</v>
      </c>
      <c r="C309" s="441">
        <f>C305+C307+C308+C306</f>
        <v>6246903174</v>
      </c>
      <c r="D309" s="441">
        <f>LN_III2+LN_III3+LN_III4+LN_III5</f>
        <v>6381233470</v>
      </c>
      <c r="E309" s="441">
        <f t="shared" si="32"/>
        <v>134330296</v>
      </c>
      <c r="F309" s="449">
        <f t="shared" si="33"/>
        <v>2.1503502176741119E-2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754</v>
      </c>
      <c r="C310" s="441">
        <f>C304-C309</f>
        <v>2476611619</v>
      </c>
      <c r="D310" s="441">
        <f>LN_III1-LN_III6</f>
        <v>2514206111</v>
      </c>
      <c r="E310" s="441">
        <f t="shared" si="32"/>
        <v>37594492</v>
      </c>
      <c r="F310" s="449">
        <f t="shared" si="33"/>
        <v>1.5179809265039227E-2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755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756</v>
      </c>
      <c r="C312" s="441">
        <f>C310+C311</f>
        <v>2476611619</v>
      </c>
      <c r="D312" s="441">
        <f>LN_III7+LN_III8</f>
        <v>2514206111</v>
      </c>
      <c r="E312" s="441">
        <f t="shared" si="32"/>
        <v>37594492</v>
      </c>
      <c r="F312" s="449">
        <f t="shared" si="33"/>
        <v>1.5179809265039227E-2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757</v>
      </c>
      <c r="C313" s="532">
        <f>IF(C304=0,0,C312/C304)</f>
        <v>0.28390066134665176</v>
      </c>
      <c r="D313" s="532">
        <f>IF(LN_III1=0,0,LN_III9/LN_III1)</f>
        <v>0.28263989520767002</v>
      </c>
      <c r="E313" s="532">
        <f t="shared" si="32"/>
        <v>-1.2607661389817393E-3</v>
      </c>
      <c r="F313" s="449">
        <f t="shared" si="33"/>
        <v>-4.4408707362689221E-3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720</v>
      </c>
      <c r="C314" s="441">
        <f>C306*C313</f>
        <v>49871409.675459579</v>
      </c>
      <c r="D314" s="441">
        <f>D313*LN_III5</f>
        <v>54903082.283985108</v>
      </c>
      <c r="E314" s="441">
        <f t="shared" si="32"/>
        <v>5031672.6085255295</v>
      </c>
      <c r="F314" s="449">
        <f t="shared" si="33"/>
        <v>0.10089292926086034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723</v>
      </c>
      <c r="C315" s="441">
        <f>(C214*C313)-C215</f>
        <v>297398019.82799184</v>
      </c>
      <c r="D315" s="441">
        <f>D313*LN_IH8-LN_IH9</f>
        <v>278524678.53636694</v>
      </c>
      <c r="E315" s="441">
        <f t="shared" si="32"/>
        <v>-18873341.291624904</v>
      </c>
      <c r="F315" s="449">
        <f t="shared" si="33"/>
        <v>-6.3461556679297357E-2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758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759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760</v>
      </c>
      <c r="C318" s="441">
        <f>C314+C315+C316</f>
        <v>347269429.50345141</v>
      </c>
      <c r="D318" s="441">
        <f>D314+D315+D316</f>
        <v>333427760.82035208</v>
      </c>
      <c r="E318" s="441">
        <f>D318-C318</f>
        <v>-13841668.683099329</v>
      </c>
      <c r="F318" s="449">
        <f>IF(C318=0,0,E318/C318)</f>
        <v>-3.9858586754644813E-2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761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48792979.894582435</v>
      </c>
      <c r="D322" s="441">
        <f>LN_ID22</f>
        <v>85428971.583230257</v>
      </c>
      <c r="E322" s="441">
        <f>LN_IV2-C322</f>
        <v>36635991.688647822</v>
      </c>
      <c r="F322" s="449">
        <f>IF(C322=0,0,E322/C322)</f>
        <v>0.75084554720371932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747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762</v>
      </c>
      <c r="C324" s="441">
        <f>C92+C106</f>
        <v>4063735.7780062342</v>
      </c>
      <c r="D324" s="441">
        <f>LN_IC10+LN_IC22</f>
        <v>-61672624.764989607</v>
      </c>
      <c r="E324" s="441">
        <f>LN_IV1-C324</f>
        <v>-65736360.54299584</v>
      </c>
      <c r="F324" s="449">
        <f>IF(C324=0,0,E324/C324)</f>
        <v>-16.176337275364805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763</v>
      </c>
      <c r="C325" s="516">
        <f>C324+C322+C323</f>
        <v>52856715.672588669</v>
      </c>
      <c r="D325" s="516">
        <f>LN_IV1+LN_IV2+LN_IV3</f>
        <v>23756346.81824065</v>
      </c>
      <c r="E325" s="441">
        <f>LN_IV4-C325</f>
        <v>-29100368.854348019</v>
      </c>
      <c r="F325" s="449">
        <f>IF(C325=0,0,E325/C325)</f>
        <v>-0.55055196835544928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764</v>
      </c>
      <c r="B327" s="530" t="s">
        <v>765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766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767</v>
      </c>
      <c r="C330" s="516">
        <v>-97646807</v>
      </c>
      <c r="D330" s="516">
        <v>-147227475</v>
      </c>
      <c r="E330" s="518">
        <f t="shared" si="34"/>
        <v>-49580668</v>
      </c>
      <c r="F330" s="543">
        <f t="shared" si="35"/>
        <v>0.50775513837334174</v>
      </c>
    </row>
    <row r="331" spans="1:22" s="420" customFormat="1" ht="15.75" customHeight="1" x14ac:dyDescent="0.2">
      <c r="A331" s="427">
        <v>3</v>
      </c>
      <c r="B331" s="447" t="s">
        <v>768</v>
      </c>
      <c r="C331" s="516">
        <v>2457990000</v>
      </c>
      <c r="D331" s="516">
        <v>2517314000</v>
      </c>
      <c r="E331" s="518">
        <f t="shared" si="34"/>
        <v>59324000</v>
      </c>
      <c r="F331" s="542">
        <f t="shared" si="35"/>
        <v>2.4135167352186137E-2</v>
      </c>
    </row>
    <row r="332" spans="1:22" s="420" customFormat="1" ht="27" customHeight="1" x14ac:dyDescent="0.2">
      <c r="A332" s="451">
        <v>4</v>
      </c>
      <c r="B332" s="447" t="s">
        <v>769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770</v>
      </c>
      <c r="C333" s="516">
        <v>8723514793</v>
      </c>
      <c r="D333" s="516">
        <v>8895439581</v>
      </c>
      <c r="E333" s="518">
        <f t="shared" si="34"/>
        <v>171924788</v>
      </c>
      <c r="F333" s="542">
        <f t="shared" si="35"/>
        <v>1.9708201576955818E-2</v>
      </c>
    </row>
    <row r="334" spans="1:22" s="420" customFormat="1" ht="15.75" customHeight="1" x14ac:dyDescent="0.2">
      <c r="A334" s="427">
        <v>6</v>
      </c>
      <c r="B334" s="447" t="s">
        <v>771</v>
      </c>
      <c r="C334" s="516">
        <v>596000</v>
      </c>
      <c r="D334" s="516">
        <v>600000</v>
      </c>
      <c r="E334" s="516">
        <f t="shared" si="34"/>
        <v>4000</v>
      </c>
      <c r="F334" s="543">
        <f t="shared" si="35"/>
        <v>6.7114093959731542E-3</v>
      </c>
    </row>
    <row r="335" spans="1:22" s="420" customFormat="1" ht="15.75" customHeight="1" x14ac:dyDescent="0.2">
      <c r="A335" s="451">
        <v>7</v>
      </c>
      <c r="B335" s="447" t="s">
        <v>772</v>
      </c>
      <c r="C335" s="516">
        <v>176261000</v>
      </c>
      <c r="D335" s="516">
        <v>194851000</v>
      </c>
      <c r="E335" s="516">
        <f t="shared" si="34"/>
        <v>18590000</v>
      </c>
      <c r="F335" s="542">
        <f t="shared" si="35"/>
        <v>0.10546859486783804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FILING&amp;RYALE-NEW HAVEN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633</v>
      </c>
      <c r="B3" s="820"/>
      <c r="C3" s="820"/>
      <c r="D3" s="820"/>
      <c r="E3" s="820"/>
    </row>
    <row r="4" spans="1:5" s="428" customFormat="1" ht="15.75" customHeight="1" x14ac:dyDescent="0.25">
      <c r="A4" s="820" t="s">
        <v>773</v>
      </c>
      <c r="B4" s="820"/>
      <c r="C4" s="820"/>
      <c r="D4" s="820"/>
      <c r="E4" s="820"/>
    </row>
    <row r="5" spans="1:5" s="428" customFormat="1" ht="15.75" customHeight="1" x14ac:dyDescent="0.25">
      <c r="A5" s="820" t="s">
        <v>774</v>
      </c>
      <c r="B5" s="820"/>
      <c r="C5" s="820"/>
      <c r="D5" s="820"/>
      <c r="E5" s="820"/>
    </row>
    <row r="6" spans="1:5" s="428" customFormat="1" ht="15.75" customHeight="1" x14ac:dyDescent="0.25">
      <c r="A6" s="820" t="s">
        <v>775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776</v>
      </c>
      <c r="D9" s="573" t="s">
        <v>777</v>
      </c>
      <c r="E9" s="573" t="s">
        <v>778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779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780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660</v>
      </c>
      <c r="C14" s="589">
        <v>1495263188</v>
      </c>
      <c r="D14" s="589">
        <v>1494723315</v>
      </c>
      <c r="E14" s="590">
        <f t="shared" ref="E14:E22" si="0">D14-C14</f>
        <v>-539873</v>
      </c>
    </row>
    <row r="15" spans="1:5" s="421" customFormat="1" x14ac:dyDescent="0.2">
      <c r="A15" s="588">
        <v>2</v>
      </c>
      <c r="B15" s="587" t="s">
        <v>639</v>
      </c>
      <c r="C15" s="589">
        <v>1964467554</v>
      </c>
      <c r="D15" s="591">
        <v>1988875521</v>
      </c>
      <c r="E15" s="590">
        <f t="shared" si="0"/>
        <v>24407967</v>
      </c>
    </row>
    <row r="16" spans="1:5" s="421" customFormat="1" x14ac:dyDescent="0.2">
      <c r="A16" s="588">
        <v>3</v>
      </c>
      <c r="B16" s="587" t="s">
        <v>781</v>
      </c>
      <c r="C16" s="589">
        <v>1148213273</v>
      </c>
      <c r="D16" s="591">
        <v>1122842218</v>
      </c>
      <c r="E16" s="590">
        <f t="shared" si="0"/>
        <v>-25371055</v>
      </c>
    </row>
    <row r="17" spans="1:5" s="421" customFormat="1" x14ac:dyDescent="0.2">
      <c r="A17" s="588">
        <v>4</v>
      </c>
      <c r="B17" s="587" t="s">
        <v>115</v>
      </c>
      <c r="C17" s="589">
        <v>1148213273</v>
      </c>
      <c r="D17" s="591">
        <v>1122842218</v>
      </c>
      <c r="E17" s="590">
        <f t="shared" si="0"/>
        <v>-25371055</v>
      </c>
    </row>
    <row r="18" spans="1:5" s="421" customFormat="1" x14ac:dyDescent="0.2">
      <c r="A18" s="588">
        <v>5</v>
      </c>
      <c r="B18" s="587" t="s">
        <v>747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20042376</v>
      </c>
      <c r="D19" s="591">
        <v>39983192</v>
      </c>
      <c r="E19" s="590">
        <f t="shared" si="0"/>
        <v>19940816</v>
      </c>
    </row>
    <row r="20" spans="1:5" s="421" customFormat="1" x14ac:dyDescent="0.2">
      <c r="A20" s="588">
        <v>7</v>
      </c>
      <c r="B20" s="587" t="s">
        <v>762</v>
      </c>
      <c r="C20" s="589">
        <v>80469795</v>
      </c>
      <c r="D20" s="591">
        <v>95188396</v>
      </c>
      <c r="E20" s="590">
        <f t="shared" si="0"/>
        <v>14718601</v>
      </c>
    </row>
    <row r="21" spans="1:5" s="421" customFormat="1" x14ac:dyDescent="0.2">
      <c r="A21" s="588"/>
      <c r="B21" s="592" t="s">
        <v>782</v>
      </c>
      <c r="C21" s="593">
        <f>SUM(C15+C16+C19)</f>
        <v>3132723203</v>
      </c>
      <c r="D21" s="593">
        <f>SUM(D15+D16+D19)</f>
        <v>3151700931</v>
      </c>
      <c r="E21" s="593">
        <f t="shared" si="0"/>
        <v>18977728</v>
      </c>
    </row>
    <row r="22" spans="1:5" s="421" customFormat="1" x14ac:dyDescent="0.2">
      <c r="A22" s="588"/>
      <c r="B22" s="592" t="s">
        <v>465</v>
      </c>
      <c r="C22" s="593">
        <f>SUM(C14+C21)</f>
        <v>4627986391</v>
      </c>
      <c r="D22" s="593">
        <f>SUM(D14+D21)</f>
        <v>4646424246</v>
      </c>
      <c r="E22" s="593">
        <f t="shared" si="0"/>
        <v>18437855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783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660</v>
      </c>
      <c r="C25" s="589">
        <v>1727913241</v>
      </c>
      <c r="D25" s="589">
        <v>1768725060</v>
      </c>
      <c r="E25" s="590">
        <f t="shared" ref="E25:E33" si="1">D25-C25</f>
        <v>40811819</v>
      </c>
    </row>
    <row r="26" spans="1:5" s="421" customFormat="1" x14ac:dyDescent="0.2">
      <c r="A26" s="588">
        <v>2</v>
      </c>
      <c r="B26" s="587" t="s">
        <v>639</v>
      </c>
      <c r="C26" s="589">
        <v>1566403285</v>
      </c>
      <c r="D26" s="591">
        <v>1656820595</v>
      </c>
      <c r="E26" s="590">
        <f t="shared" si="1"/>
        <v>90417310</v>
      </c>
    </row>
    <row r="27" spans="1:5" s="421" customFormat="1" x14ac:dyDescent="0.2">
      <c r="A27" s="588">
        <v>3</v>
      </c>
      <c r="B27" s="587" t="s">
        <v>781</v>
      </c>
      <c r="C27" s="589">
        <v>781303401</v>
      </c>
      <c r="D27" s="591">
        <v>804648783</v>
      </c>
      <c r="E27" s="590">
        <f t="shared" si="1"/>
        <v>23345382</v>
      </c>
    </row>
    <row r="28" spans="1:5" s="421" customFormat="1" x14ac:dyDescent="0.2">
      <c r="A28" s="588">
        <v>4</v>
      </c>
      <c r="B28" s="587" t="s">
        <v>115</v>
      </c>
      <c r="C28" s="589">
        <v>781303401</v>
      </c>
      <c r="D28" s="591">
        <v>804648783</v>
      </c>
      <c r="E28" s="590">
        <f t="shared" si="1"/>
        <v>23345382</v>
      </c>
    </row>
    <row r="29" spans="1:5" s="421" customFormat="1" x14ac:dyDescent="0.2">
      <c r="A29" s="588">
        <v>5</v>
      </c>
      <c r="B29" s="587" t="s">
        <v>747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19908475</v>
      </c>
      <c r="D30" s="591">
        <v>18820897</v>
      </c>
      <c r="E30" s="590">
        <f t="shared" si="1"/>
        <v>-1087578</v>
      </c>
    </row>
    <row r="31" spans="1:5" s="421" customFormat="1" x14ac:dyDescent="0.2">
      <c r="A31" s="588">
        <v>7</v>
      </c>
      <c r="B31" s="587" t="s">
        <v>762</v>
      </c>
      <c r="C31" s="590">
        <v>96954852</v>
      </c>
      <c r="D31" s="594">
        <v>114562089</v>
      </c>
      <c r="E31" s="590">
        <f t="shared" si="1"/>
        <v>17607237</v>
      </c>
    </row>
    <row r="32" spans="1:5" s="421" customFormat="1" x14ac:dyDescent="0.2">
      <c r="A32" s="588"/>
      <c r="B32" s="592" t="s">
        <v>784</v>
      </c>
      <c r="C32" s="593">
        <f>SUM(C26+C27+C30)</f>
        <v>2367615161</v>
      </c>
      <c r="D32" s="593">
        <f>SUM(D26+D27+D30)</f>
        <v>2480290275</v>
      </c>
      <c r="E32" s="593">
        <f t="shared" si="1"/>
        <v>112675114</v>
      </c>
    </row>
    <row r="33" spans="1:5" s="421" customFormat="1" x14ac:dyDescent="0.2">
      <c r="A33" s="588"/>
      <c r="B33" s="592" t="s">
        <v>467</v>
      </c>
      <c r="C33" s="593">
        <f>SUM(C25+C32)</f>
        <v>4095528402</v>
      </c>
      <c r="D33" s="593">
        <f>SUM(D25+D32)</f>
        <v>4249015335</v>
      </c>
      <c r="E33" s="593">
        <f t="shared" si="1"/>
        <v>153486933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657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785</v>
      </c>
      <c r="C36" s="590">
        <f t="shared" ref="C36:D42" si="2">C14+C25</f>
        <v>3223176429</v>
      </c>
      <c r="D36" s="590">
        <f t="shared" si="2"/>
        <v>3263448375</v>
      </c>
      <c r="E36" s="590">
        <f t="shared" ref="E36:E44" si="3">D36-C36</f>
        <v>40271946</v>
      </c>
    </row>
    <row r="37" spans="1:5" s="421" customFormat="1" x14ac:dyDescent="0.2">
      <c r="A37" s="588">
        <v>2</v>
      </c>
      <c r="B37" s="587" t="s">
        <v>786</v>
      </c>
      <c r="C37" s="590">
        <f t="shared" si="2"/>
        <v>3530870839</v>
      </c>
      <c r="D37" s="590">
        <f t="shared" si="2"/>
        <v>3645696116</v>
      </c>
      <c r="E37" s="590">
        <f t="shared" si="3"/>
        <v>114825277</v>
      </c>
    </row>
    <row r="38" spans="1:5" s="421" customFormat="1" x14ac:dyDescent="0.2">
      <c r="A38" s="588">
        <v>3</v>
      </c>
      <c r="B38" s="587" t="s">
        <v>787</v>
      </c>
      <c r="C38" s="590">
        <f t="shared" si="2"/>
        <v>1929516674</v>
      </c>
      <c r="D38" s="590">
        <f t="shared" si="2"/>
        <v>1927491001</v>
      </c>
      <c r="E38" s="590">
        <f t="shared" si="3"/>
        <v>-2025673</v>
      </c>
    </row>
    <row r="39" spans="1:5" s="421" customFormat="1" x14ac:dyDescent="0.2">
      <c r="A39" s="588">
        <v>4</v>
      </c>
      <c r="B39" s="587" t="s">
        <v>788</v>
      </c>
      <c r="C39" s="590">
        <f t="shared" si="2"/>
        <v>1929516674</v>
      </c>
      <c r="D39" s="590">
        <f t="shared" si="2"/>
        <v>1927491001</v>
      </c>
      <c r="E39" s="590">
        <f t="shared" si="3"/>
        <v>-2025673</v>
      </c>
    </row>
    <row r="40" spans="1:5" s="421" customFormat="1" x14ac:dyDescent="0.2">
      <c r="A40" s="588">
        <v>5</v>
      </c>
      <c r="B40" s="587" t="s">
        <v>789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790</v>
      </c>
      <c r="C41" s="590">
        <f t="shared" si="2"/>
        <v>39950851</v>
      </c>
      <c r="D41" s="590">
        <f t="shared" si="2"/>
        <v>58804089</v>
      </c>
      <c r="E41" s="590">
        <f t="shared" si="3"/>
        <v>18853238</v>
      </c>
    </row>
    <row r="42" spans="1:5" s="421" customFormat="1" x14ac:dyDescent="0.2">
      <c r="A42" s="588">
        <v>7</v>
      </c>
      <c r="B42" s="587" t="s">
        <v>791</v>
      </c>
      <c r="C42" s="590">
        <f t="shared" si="2"/>
        <v>177424647</v>
      </c>
      <c r="D42" s="590">
        <f t="shared" si="2"/>
        <v>209750485</v>
      </c>
      <c r="E42" s="590">
        <f t="shared" si="3"/>
        <v>32325838</v>
      </c>
    </row>
    <row r="43" spans="1:5" s="421" customFormat="1" x14ac:dyDescent="0.2">
      <c r="A43" s="588"/>
      <c r="B43" s="592" t="s">
        <v>792</v>
      </c>
      <c r="C43" s="593">
        <f>SUM(C37+C38+C41)</f>
        <v>5500338364</v>
      </c>
      <c r="D43" s="593">
        <f>SUM(D37+D38+D41)</f>
        <v>5631991206</v>
      </c>
      <c r="E43" s="593">
        <f t="shared" si="3"/>
        <v>131652842</v>
      </c>
    </row>
    <row r="44" spans="1:5" s="421" customFormat="1" x14ac:dyDescent="0.2">
      <c r="A44" s="588"/>
      <c r="B44" s="592" t="s">
        <v>729</v>
      </c>
      <c r="C44" s="593">
        <f>SUM(C36+C43)</f>
        <v>8723514793</v>
      </c>
      <c r="D44" s="593">
        <f>SUM(D36+D43)</f>
        <v>8895439581</v>
      </c>
      <c r="E44" s="593">
        <f t="shared" si="3"/>
        <v>171924788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793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660</v>
      </c>
      <c r="C47" s="589">
        <v>684069869</v>
      </c>
      <c r="D47" s="589">
        <v>779121584</v>
      </c>
      <c r="E47" s="590">
        <f t="shared" ref="E47:E55" si="4">D47-C47</f>
        <v>95051715</v>
      </c>
    </row>
    <row r="48" spans="1:5" s="421" customFormat="1" x14ac:dyDescent="0.2">
      <c r="A48" s="588">
        <v>2</v>
      </c>
      <c r="B48" s="587" t="s">
        <v>639</v>
      </c>
      <c r="C48" s="589">
        <v>627427757</v>
      </c>
      <c r="D48" s="591">
        <v>524753876</v>
      </c>
      <c r="E48" s="590">
        <f t="shared" si="4"/>
        <v>-102673881</v>
      </c>
    </row>
    <row r="49" spans="1:5" s="421" customFormat="1" x14ac:dyDescent="0.2">
      <c r="A49" s="588">
        <v>3</v>
      </c>
      <c r="B49" s="587" t="s">
        <v>781</v>
      </c>
      <c r="C49" s="589">
        <v>130960728</v>
      </c>
      <c r="D49" s="591">
        <v>164075205</v>
      </c>
      <c r="E49" s="590">
        <f t="shared" si="4"/>
        <v>33114477</v>
      </c>
    </row>
    <row r="50" spans="1:5" s="421" customFormat="1" x14ac:dyDescent="0.2">
      <c r="A50" s="588">
        <v>4</v>
      </c>
      <c r="B50" s="587" t="s">
        <v>115</v>
      </c>
      <c r="C50" s="589">
        <v>130960728</v>
      </c>
      <c r="D50" s="591">
        <v>164075205</v>
      </c>
      <c r="E50" s="590">
        <f t="shared" si="4"/>
        <v>33114477</v>
      </c>
    </row>
    <row r="51" spans="1:5" s="421" customFormat="1" x14ac:dyDescent="0.2">
      <c r="A51" s="588">
        <v>5</v>
      </c>
      <c r="B51" s="587" t="s">
        <v>747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4483239</v>
      </c>
      <c r="D52" s="591">
        <v>20399400</v>
      </c>
      <c r="E52" s="590">
        <f t="shared" si="4"/>
        <v>15916161</v>
      </c>
    </row>
    <row r="53" spans="1:5" s="421" customFormat="1" x14ac:dyDescent="0.2">
      <c r="A53" s="588">
        <v>7</v>
      </c>
      <c r="B53" s="587" t="s">
        <v>762</v>
      </c>
      <c r="C53" s="589">
        <v>27560241</v>
      </c>
      <c r="D53" s="591">
        <v>53901535</v>
      </c>
      <c r="E53" s="590">
        <f t="shared" si="4"/>
        <v>26341294</v>
      </c>
    </row>
    <row r="54" spans="1:5" s="421" customFormat="1" x14ac:dyDescent="0.2">
      <c r="A54" s="588"/>
      <c r="B54" s="592" t="s">
        <v>794</v>
      </c>
      <c r="C54" s="593">
        <f>SUM(C48+C49+C52)</f>
        <v>762871724</v>
      </c>
      <c r="D54" s="593">
        <f>SUM(D48+D49+D52)</f>
        <v>709228481</v>
      </c>
      <c r="E54" s="593">
        <f t="shared" si="4"/>
        <v>-53643243</v>
      </c>
    </row>
    <row r="55" spans="1:5" s="421" customFormat="1" x14ac:dyDescent="0.2">
      <c r="A55" s="588"/>
      <c r="B55" s="592" t="s">
        <v>466</v>
      </c>
      <c r="C55" s="593">
        <f>SUM(C47+C54)</f>
        <v>1446941593</v>
      </c>
      <c r="D55" s="593">
        <f>SUM(D47+D54)</f>
        <v>1488350065</v>
      </c>
      <c r="E55" s="593">
        <f t="shared" si="4"/>
        <v>41408472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795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660</v>
      </c>
      <c r="C58" s="589">
        <v>738947223</v>
      </c>
      <c r="D58" s="589">
        <v>793160072</v>
      </c>
      <c r="E58" s="590">
        <f t="shared" ref="E58:E66" si="5">D58-C58</f>
        <v>54212849</v>
      </c>
    </row>
    <row r="59" spans="1:5" s="421" customFormat="1" x14ac:dyDescent="0.2">
      <c r="A59" s="588">
        <v>2</v>
      </c>
      <c r="B59" s="587" t="s">
        <v>639</v>
      </c>
      <c r="C59" s="589">
        <v>248796075</v>
      </c>
      <c r="D59" s="591">
        <v>275461332</v>
      </c>
      <c r="E59" s="590">
        <f t="shared" si="5"/>
        <v>26665257</v>
      </c>
    </row>
    <row r="60" spans="1:5" s="421" customFormat="1" x14ac:dyDescent="0.2">
      <c r="A60" s="588">
        <v>3</v>
      </c>
      <c r="B60" s="587" t="s">
        <v>781</v>
      </c>
      <c r="C60" s="589">
        <f>C61+C62</f>
        <v>119432312</v>
      </c>
      <c r="D60" s="591">
        <f>D61+D62</f>
        <v>102185971</v>
      </c>
      <c r="E60" s="590">
        <f t="shared" si="5"/>
        <v>-17246341</v>
      </c>
    </row>
    <row r="61" spans="1:5" s="421" customFormat="1" x14ac:dyDescent="0.2">
      <c r="A61" s="588">
        <v>4</v>
      </c>
      <c r="B61" s="587" t="s">
        <v>115</v>
      </c>
      <c r="C61" s="589">
        <v>119432312</v>
      </c>
      <c r="D61" s="591">
        <v>102185971</v>
      </c>
      <c r="E61" s="590">
        <f t="shared" si="5"/>
        <v>-17246341</v>
      </c>
    </row>
    <row r="62" spans="1:5" s="421" customFormat="1" x14ac:dyDescent="0.2">
      <c r="A62" s="588">
        <v>5</v>
      </c>
      <c r="B62" s="587" t="s">
        <v>747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1519605</v>
      </c>
      <c r="D63" s="591">
        <v>5383617</v>
      </c>
      <c r="E63" s="590">
        <f t="shared" si="5"/>
        <v>3864012</v>
      </c>
    </row>
    <row r="64" spans="1:5" s="421" customFormat="1" x14ac:dyDescent="0.2">
      <c r="A64" s="588">
        <v>7</v>
      </c>
      <c r="B64" s="587" t="s">
        <v>762</v>
      </c>
      <c r="C64" s="589">
        <v>12752235</v>
      </c>
      <c r="D64" s="591">
        <v>49306839</v>
      </c>
      <c r="E64" s="590">
        <f t="shared" si="5"/>
        <v>36554604</v>
      </c>
    </row>
    <row r="65" spans="1:5" s="421" customFormat="1" x14ac:dyDescent="0.2">
      <c r="A65" s="588"/>
      <c r="B65" s="592" t="s">
        <v>796</v>
      </c>
      <c r="C65" s="593">
        <f>SUM(C59+C60+C63)</f>
        <v>369747992</v>
      </c>
      <c r="D65" s="593">
        <f>SUM(D59+D60+D63)</f>
        <v>383030920</v>
      </c>
      <c r="E65" s="593">
        <f t="shared" si="5"/>
        <v>13282928</v>
      </c>
    </row>
    <row r="66" spans="1:5" s="421" customFormat="1" x14ac:dyDescent="0.2">
      <c r="A66" s="588"/>
      <c r="B66" s="592" t="s">
        <v>468</v>
      </c>
      <c r="C66" s="593">
        <f>SUM(C58+C65)</f>
        <v>1108695215</v>
      </c>
      <c r="D66" s="593">
        <f>SUM(D58+D65)</f>
        <v>1176190992</v>
      </c>
      <c r="E66" s="593">
        <f t="shared" si="5"/>
        <v>67495777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658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785</v>
      </c>
      <c r="C69" s="590">
        <f t="shared" ref="C69:D75" si="6">C47+C58</f>
        <v>1423017092</v>
      </c>
      <c r="D69" s="590">
        <f t="shared" si="6"/>
        <v>1572281656</v>
      </c>
      <c r="E69" s="590">
        <f t="shared" ref="E69:E77" si="7">D69-C69</f>
        <v>149264564</v>
      </c>
    </row>
    <row r="70" spans="1:5" s="421" customFormat="1" x14ac:dyDescent="0.2">
      <c r="A70" s="588">
        <v>2</v>
      </c>
      <c r="B70" s="587" t="s">
        <v>786</v>
      </c>
      <c r="C70" s="590">
        <f t="shared" si="6"/>
        <v>876223832</v>
      </c>
      <c r="D70" s="590">
        <f t="shared" si="6"/>
        <v>800215208</v>
      </c>
      <c r="E70" s="590">
        <f t="shared" si="7"/>
        <v>-76008624</v>
      </c>
    </row>
    <row r="71" spans="1:5" s="421" customFormat="1" x14ac:dyDescent="0.2">
      <c r="A71" s="588">
        <v>3</v>
      </c>
      <c r="B71" s="587" t="s">
        <v>787</v>
      </c>
      <c r="C71" s="590">
        <f t="shared" si="6"/>
        <v>250393040</v>
      </c>
      <c r="D71" s="590">
        <f t="shared" si="6"/>
        <v>266261176</v>
      </c>
      <c r="E71" s="590">
        <f t="shared" si="7"/>
        <v>15868136</v>
      </c>
    </row>
    <row r="72" spans="1:5" s="421" customFormat="1" x14ac:dyDescent="0.2">
      <c r="A72" s="588">
        <v>4</v>
      </c>
      <c r="B72" s="587" t="s">
        <v>788</v>
      </c>
      <c r="C72" s="590">
        <f t="shared" si="6"/>
        <v>250393040</v>
      </c>
      <c r="D72" s="590">
        <f t="shared" si="6"/>
        <v>266261176</v>
      </c>
      <c r="E72" s="590">
        <f t="shared" si="7"/>
        <v>15868136</v>
      </c>
    </row>
    <row r="73" spans="1:5" s="421" customFormat="1" x14ac:dyDescent="0.2">
      <c r="A73" s="588">
        <v>5</v>
      </c>
      <c r="B73" s="587" t="s">
        <v>789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790</v>
      </c>
      <c r="C74" s="590">
        <f t="shared" si="6"/>
        <v>6002844</v>
      </c>
      <c r="D74" s="590">
        <f t="shared" si="6"/>
        <v>25783017</v>
      </c>
      <c r="E74" s="590">
        <f t="shared" si="7"/>
        <v>19780173</v>
      </c>
    </row>
    <row r="75" spans="1:5" s="421" customFormat="1" x14ac:dyDescent="0.2">
      <c r="A75" s="588">
        <v>7</v>
      </c>
      <c r="B75" s="587" t="s">
        <v>791</v>
      </c>
      <c r="C75" s="590">
        <f t="shared" si="6"/>
        <v>40312476</v>
      </c>
      <c r="D75" s="590">
        <f t="shared" si="6"/>
        <v>103208374</v>
      </c>
      <c r="E75" s="590">
        <f t="shared" si="7"/>
        <v>62895898</v>
      </c>
    </row>
    <row r="76" spans="1:5" s="421" customFormat="1" x14ac:dyDescent="0.2">
      <c r="A76" s="588"/>
      <c r="B76" s="592" t="s">
        <v>797</v>
      </c>
      <c r="C76" s="593">
        <f>SUM(C70+C71+C74)</f>
        <v>1132619716</v>
      </c>
      <c r="D76" s="593">
        <f>SUM(D70+D71+D74)</f>
        <v>1092259401</v>
      </c>
      <c r="E76" s="593">
        <f t="shared" si="7"/>
        <v>-40360315</v>
      </c>
    </row>
    <row r="77" spans="1:5" s="421" customFormat="1" x14ac:dyDescent="0.2">
      <c r="A77" s="588"/>
      <c r="B77" s="592" t="s">
        <v>730</v>
      </c>
      <c r="C77" s="593">
        <f>SUM(C69+C76)</f>
        <v>2555636808</v>
      </c>
      <c r="D77" s="593">
        <f>SUM(D69+D76)</f>
        <v>2664541057</v>
      </c>
      <c r="E77" s="593">
        <f t="shared" si="7"/>
        <v>108904249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798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799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660</v>
      </c>
      <c r="C83" s="599">
        <f t="shared" ref="C83:D89" si="8">IF(C$44=0,0,C14/C$44)</f>
        <v>0.17140604715886334</v>
      </c>
      <c r="D83" s="599">
        <f t="shared" si="8"/>
        <v>0.16803254087550865</v>
      </c>
      <c r="E83" s="599">
        <f t="shared" ref="E83:E91" si="9">D83-C83</f>
        <v>-3.3735062833546992E-3</v>
      </c>
    </row>
    <row r="84" spans="1:5" s="421" customFormat="1" x14ac:dyDescent="0.2">
      <c r="A84" s="588">
        <v>2</v>
      </c>
      <c r="B84" s="587" t="s">
        <v>639</v>
      </c>
      <c r="C84" s="599">
        <f t="shared" si="8"/>
        <v>0.22519220756940145</v>
      </c>
      <c r="D84" s="599">
        <f t="shared" si="8"/>
        <v>0.22358372544602415</v>
      </c>
      <c r="E84" s="599">
        <f t="shared" si="9"/>
        <v>-1.6084821233773028E-3</v>
      </c>
    </row>
    <row r="85" spans="1:5" s="421" customFormat="1" x14ac:dyDescent="0.2">
      <c r="A85" s="588">
        <v>3</v>
      </c>
      <c r="B85" s="587" t="s">
        <v>781</v>
      </c>
      <c r="C85" s="599">
        <f t="shared" si="8"/>
        <v>0.13162278052435464</v>
      </c>
      <c r="D85" s="599">
        <f t="shared" si="8"/>
        <v>0.12622672637767196</v>
      </c>
      <c r="E85" s="599">
        <f t="shared" si="9"/>
        <v>-5.3960541466826772E-3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0.13162278052435464</v>
      </c>
      <c r="D86" s="599">
        <f t="shared" si="8"/>
        <v>0.12622672637767196</v>
      </c>
      <c r="E86" s="599">
        <f t="shared" si="9"/>
        <v>-5.3960541466826772E-3</v>
      </c>
    </row>
    <row r="87" spans="1:5" s="421" customFormat="1" x14ac:dyDescent="0.2">
      <c r="A87" s="588">
        <v>5</v>
      </c>
      <c r="B87" s="587" t="s">
        <v>747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2.2975115507435813E-3</v>
      </c>
      <c r="D88" s="599">
        <f t="shared" si="8"/>
        <v>4.4947966467448258E-3</v>
      </c>
      <c r="E88" s="599">
        <f t="shared" si="9"/>
        <v>2.1972850960012445E-3</v>
      </c>
    </row>
    <row r="89" spans="1:5" s="421" customFormat="1" x14ac:dyDescent="0.2">
      <c r="A89" s="588">
        <v>7</v>
      </c>
      <c r="B89" s="587" t="s">
        <v>762</v>
      </c>
      <c r="C89" s="599">
        <f t="shared" si="8"/>
        <v>9.2244693692238918E-3</v>
      </c>
      <c r="D89" s="599">
        <f t="shared" si="8"/>
        <v>1.0700808558501747E-2</v>
      </c>
      <c r="E89" s="599">
        <f t="shared" si="9"/>
        <v>1.4763391892778557E-3</v>
      </c>
    </row>
    <row r="90" spans="1:5" s="421" customFormat="1" x14ac:dyDescent="0.2">
      <c r="A90" s="588"/>
      <c r="B90" s="592" t="s">
        <v>800</v>
      </c>
      <c r="C90" s="600">
        <f>SUM(C84+C85+C88)</f>
        <v>0.35911249964449971</v>
      </c>
      <c r="D90" s="600">
        <f>SUM(D84+D85+D88)</f>
        <v>0.35430524847044093</v>
      </c>
      <c r="E90" s="601">
        <f t="shared" si="9"/>
        <v>-4.8072511740587798E-3</v>
      </c>
    </row>
    <row r="91" spans="1:5" s="421" customFormat="1" x14ac:dyDescent="0.2">
      <c r="A91" s="588"/>
      <c r="B91" s="592" t="s">
        <v>801</v>
      </c>
      <c r="C91" s="600">
        <f>SUM(C83+C90)</f>
        <v>0.53051854680336308</v>
      </c>
      <c r="D91" s="600">
        <f>SUM(D83+D90)</f>
        <v>0.52233778934594954</v>
      </c>
      <c r="E91" s="601">
        <f t="shared" si="9"/>
        <v>-8.1807574574135344E-3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802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660</v>
      </c>
      <c r="C95" s="599">
        <f t="shared" ref="C95:D101" si="10">IF(C$44=0,0,C25/C$44)</f>
        <v>0.19807534944361274</v>
      </c>
      <c r="D95" s="599">
        <f t="shared" si="10"/>
        <v>0.19883503720017004</v>
      </c>
      <c r="E95" s="599">
        <f t="shared" ref="E95:E103" si="11">D95-C95</f>
        <v>7.5968775655729792E-4</v>
      </c>
    </row>
    <row r="96" spans="1:5" s="421" customFormat="1" x14ac:dyDescent="0.2">
      <c r="A96" s="588">
        <v>2</v>
      </c>
      <c r="B96" s="587" t="s">
        <v>639</v>
      </c>
      <c r="C96" s="599">
        <f t="shared" si="10"/>
        <v>0.17956102811414124</v>
      </c>
      <c r="D96" s="599">
        <f t="shared" si="10"/>
        <v>0.18625505574101656</v>
      </c>
      <c r="E96" s="599">
        <f t="shared" si="11"/>
        <v>6.6940276268753207E-3</v>
      </c>
    </row>
    <row r="97" spans="1:5" s="421" customFormat="1" x14ac:dyDescent="0.2">
      <c r="A97" s="588">
        <v>3</v>
      </c>
      <c r="B97" s="587" t="s">
        <v>781</v>
      </c>
      <c r="C97" s="599">
        <f t="shared" si="10"/>
        <v>8.9562913520470022E-2</v>
      </c>
      <c r="D97" s="599">
        <f t="shared" si="10"/>
        <v>9.0456326039094259E-2</v>
      </c>
      <c r="E97" s="599">
        <f t="shared" si="11"/>
        <v>8.9341251862423698E-4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8.9562913520470022E-2</v>
      </c>
      <c r="D98" s="599">
        <f t="shared" si="10"/>
        <v>9.0456326039094259E-2</v>
      </c>
      <c r="E98" s="599">
        <f t="shared" si="11"/>
        <v>8.9341251862423698E-4</v>
      </c>
    </row>
    <row r="99" spans="1:5" s="421" customFormat="1" x14ac:dyDescent="0.2">
      <c r="A99" s="588">
        <v>5</v>
      </c>
      <c r="B99" s="587" t="s">
        <v>747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2.2821621184129972E-3</v>
      </c>
      <c r="D100" s="599">
        <f t="shared" si="10"/>
        <v>2.115791673769562E-3</v>
      </c>
      <c r="E100" s="599">
        <f t="shared" si="11"/>
        <v>-1.6637044464343524E-4</v>
      </c>
    </row>
    <row r="101" spans="1:5" s="421" customFormat="1" x14ac:dyDescent="0.2">
      <c r="A101" s="588">
        <v>7</v>
      </c>
      <c r="B101" s="587" t="s">
        <v>762</v>
      </c>
      <c r="C101" s="599">
        <f t="shared" si="10"/>
        <v>1.1114195860342825E-2</v>
      </c>
      <c r="D101" s="599">
        <f t="shared" si="10"/>
        <v>1.2878743985254662E-2</v>
      </c>
      <c r="E101" s="599">
        <f t="shared" si="11"/>
        <v>1.7645481249118373E-3</v>
      </c>
    </row>
    <row r="102" spans="1:5" s="421" customFormat="1" x14ac:dyDescent="0.2">
      <c r="A102" s="588"/>
      <c r="B102" s="592" t="s">
        <v>803</v>
      </c>
      <c r="C102" s="600">
        <f>SUM(C96+C97+C100)</f>
        <v>0.27140610375302426</v>
      </c>
      <c r="D102" s="600">
        <f>SUM(D96+D97+D100)</f>
        <v>0.27882717345388036</v>
      </c>
      <c r="E102" s="601">
        <f t="shared" si="11"/>
        <v>7.4210697008560977E-3</v>
      </c>
    </row>
    <row r="103" spans="1:5" s="421" customFormat="1" x14ac:dyDescent="0.2">
      <c r="A103" s="588"/>
      <c r="B103" s="592" t="s">
        <v>804</v>
      </c>
      <c r="C103" s="600">
        <f>SUM(C95+C102)</f>
        <v>0.46948145319663703</v>
      </c>
      <c r="D103" s="600">
        <f>SUM(D95+D102)</f>
        <v>0.4776622106540504</v>
      </c>
      <c r="E103" s="601">
        <f t="shared" si="11"/>
        <v>8.1807574574133679E-3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805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806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660</v>
      </c>
      <c r="C109" s="599">
        <f t="shared" ref="C109:D115" si="12">IF(C$77=0,0,C47/C$77)</f>
        <v>0.26767100350825751</v>
      </c>
      <c r="D109" s="599">
        <f t="shared" si="12"/>
        <v>0.29240367002534051</v>
      </c>
      <c r="E109" s="599">
        <f t="shared" ref="E109:E117" si="13">D109-C109</f>
        <v>2.4732666517083002E-2</v>
      </c>
    </row>
    <row r="110" spans="1:5" s="421" customFormat="1" x14ac:dyDescent="0.2">
      <c r="A110" s="588">
        <v>2</v>
      </c>
      <c r="B110" s="587" t="s">
        <v>639</v>
      </c>
      <c r="C110" s="599">
        <f t="shared" si="12"/>
        <v>0.24550740349174061</v>
      </c>
      <c r="D110" s="599">
        <f t="shared" si="12"/>
        <v>0.19693968483668969</v>
      </c>
      <c r="E110" s="599">
        <f t="shared" si="13"/>
        <v>-4.8567718655050912E-2</v>
      </c>
    </row>
    <row r="111" spans="1:5" s="421" customFormat="1" x14ac:dyDescent="0.2">
      <c r="A111" s="588">
        <v>3</v>
      </c>
      <c r="B111" s="587" t="s">
        <v>781</v>
      </c>
      <c r="C111" s="599">
        <f t="shared" si="12"/>
        <v>5.1243872990891746E-2</v>
      </c>
      <c r="D111" s="599">
        <f t="shared" si="12"/>
        <v>6.1577285352372037E-2</v>
      </c>
      <c r="E111" s="599">
        <f t="shared" si="13"/>
        <v>1.033341236148029E-2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5.1243872990891746E-2</v>
      </c>
      <c r="D112" s="599">
        <f t="shared" si="12"/>
        <v>6.1577285352372037E-2</v>
      </c>
      <c r="E112" s="599">
        <f t="shared" si="13"/>
        <v>1.033341236148029E-2</v>
      </c>
    </row>
    <row r="113" spans="1:5" s="421" customFormat="1" x14ac:dyDescent="0.2">
      <c r="A113" s="588">
        <v>5</v>
      </c>
      <c r="B113" s="587" t="s">
        <v>747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1.7542551374929171E-3</v>
      </c>
      <c r="D114" s="599">
        <f t="shared" si="12"/>
        <v>7.6558775277299094E-3</v>
      </c>
      <c r="E114" s="599">
        <f t="shared" si="13"/>
        <v>5.9016223902369925E-3</v>
      </c>
    </row>
    <row r="115" spans="1:5" s="421" customFormat="1" x14ac:dyDescent="0.2">
      <c r="A115" s="588">
        <v>7</v>
      </c>
      <c r="B115" s="587" t="s">
        <v>762</v>
      </c>
      <c r="C115" s="599">
        <f t="shared" si="12"/>
        <v>1.0784099256094295E-2</v>
      </c>
      <c r="D115" s="599">
        <f t="shared" si="12"/>
        <v>2.0229200393964881E-2</v>
      </c>
      <c r="E115" s="599">
        <f t="shared" si="13"/>
        <v>9.4451011378705856E-3</v>
      </c>
    </row>
    <row r="116" spans="1:5" s="421" customFormat="1" x14ac:dyDescent="0.2">
      <c r="A116" s="588"/>
      <c r="B116" s="592" t="s">
        <v>800</v>
      </c>
      <c r="C116" s="600">
        <f>SUM(C110+C111+C114)</f>
        <v>0.29850553162012528</v>
      </c>
      <c r="D116" s="600">
        <f>SUM(D110+D111+D114)</f>
        <v>0.26617284771679162</v>
      </c>
      <c r="E116" s="601">
        <f t="shared" si="13"/>
        <v>-3.2332683903333659E-2</v>
      </c>
    </row>
    <row r="117" spans="1:5" s="421" customFormat="1" x14ac:dyDescent="0.2">
      <c r="A117" s="588"/>
      <c r="B117" s="592" t="s">
        <v>801</v>
      </c>
      <c r="C117" s="600">
        <f>SUM(C109+C116)</f>
        <v>0.56617653512838273</v>
      </c>
      <c r="D117" s="600">
        <f>SUM(D109+D116)</f>
        <v>0.55857651774213213</v>
      </c>
      <c r="E117" s="601">
        <f t="shared" si="13"/>
        <v>-7.6000173862506015E-3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807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660</v>
      </c>
      <c r="C121" s="599">
        <f t="shared" ref="C121:D127" si="14">IF(C$77=0,0,C58/C$77)</f>
        <v>0.28914406800170017</v>
      </c>
      <c r="D121" s="599">
        <f t="shared" si="14"/>
        <v>0.29767230267152156</v>
      </c>
      <c r="E121" s="599">
        <f t="shared" ref="E121:E129" si="15">D121-C121</f>
        <v>8.5282346698213884E-3</v>
      </c>
    </row>
    <row r="122" spans="1:5" s="421" customFormat="1" x14ac:dyDescent="0.2">
      <c r="A122" s="588">
        <v>2</v>
      </c>
      <c r="B122" s="587" t="s">
        <v>639</v>
      </c>
      <c r="C122" s="599">
        <f t="shared" si="14"/>
        <v>9.7351890621227899E-2</v>
      </c>
      <c r="D122" s="599">
        <f t="shared" si="14"/>
        <v>0.1033804043950973</v>
      </c>
      <c r="E122" s="599">
        <f t="shared" si="15"/>
        <v>6.0285137738693984E-3</v>
      </c>
    </row>
    <row r="123" spans="1:5" s="421" customFormat="1" x14ac:dyDescent="0.2">
      <c r="A123" s="588">
        <v>3</v>
      </c>
      <c r="B123" s="587" t="s">
        <v>781</v>
      </c>
      <c r="C123" s="599">
        <f t="shared" si="14"/>
        <v>4.6732897110472356E-2</v>
      </c>
      <c r="D123" s="599">
        <f t="shared" si="14"/>
        <v>3.8350308294761624E-2</v>
      </c>
      <c r="E123" s="599">
        <f t="shared" si="15"/>
        <v>-8.3825888157107314E-3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4.6732897110472356E-2</v>
      </c>
      <c r="D124" s="599">
        <f t="shared" si="14"/>
        <v>3.8350308294761624E-2</v>
      </c>
      <c r="E124" s="599">
        <f t="shared" si="15"/>
        <v>-8.3825888157107314E-3</v>
      </c>
    </row>
    <row r="125" spans="1:5" s="421" customFormat="1" x14ac:dyDescent="0.2">
      <c r="A125" s="588">
        <v>5</v>
      </c>
      <c r="B125" s="587" t="s">
        <v>747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5.9460913821679474E-4</v>
      </c>
      <c r="D126" s="599">
        <f t="shared" si="14"/>
        <v>2.0204668964873824E-3</v>
      </c>
      <c r="E126" s="599">
        <f t="shared" si="15"/>
        <v>1.4258577582705878E-3</v>
      </c>
    </row>
    <row r="127" spans="1:5" s="421" customFormat="1" x14ac:dyDescent="0.2">
      <c r="A127" s="588">
        <v>7</v>
      </c>
      <c r="B127" s="587" t="s">
        <v>762</v>
      </c>
      <c r="C127" s="599">
        <f t="shared" si="14"/>
        <v>4.9898463506556287E-3</v>
      </c>
      <c r="D127" s="599">
        <f t="shared" si="14"/>
        <v>1.8504814880020818E-2</v>
      </c>
      <c r="E127" s="599">
        <f t="shared" si="15"/>
        <v>1.3514968529365189E-2</v>
      </c>
    </row>
    <row r="128" spans="1:5" s="421" customFormat="1" x14ac:dyDescent="0.2">
      <c r="A128" s="588"/>
      <c r="B128" s="592" t="s">
        <v>803</v>
      </c>
      <c r="C128" s="600">
        <f>SUM(C122+C123+C126)</f>
        <v>0.14467939686991704</v>
      </c>
      <c r="D128" s="600">
        <f>SUM(D122+D123+D126)</f>
        <v>0.14375117958634631</v>
      </c>
      <c r="E128" s="601">
        <f t="shared" si="15"/>
        <v>-9.2821728357073141E-4</v>
      </c>
    </row>
    <row r="129" spans="1:5" s="421" customFormat="1" x14ac:dyDescent="0.2">
      <c r="A129" s="588"/>
      <c r="B129" s="592" t="s">
        <v>804</v>
      </c>
      <c r="C129" s="600">
        <f>SUM(C121+C128)</f>
        <v>0.43382346487161721</v>
      </c>
      <c r="D129" s="600">
        <f>SUM(D121+D128)</f>
        <v>0.44142348225786787</v>
      </c>
      <c r="E129" s="601">
        <f t="shared" si="15"/>
        <v>7.600017386250657E-3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808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809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810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660</v>
      </c>
      <c r="C137" s="606">
        <v>27712</v>
      </c>
      <c r="D137" s="606">
        <v>27552</v>
      </c>
      <c r="E137" s="607">
        <f t="shared" ref="E137:E145" si="16">D137-C137</f>
        <v>-160</v>
      </c>
    </row>
    <row r="138" spans="1:5" s="421" customFormat="1" x14ac:dyDescent="0.2">
      <c r="A138" s="588">
        <v>2</v>
      </c>
      <c r="B138" s="587" t="s">
        <v>639</v>
      </c>
      <c r="C138" s="606">
        <v>28079</v>
      </c>
      <c r="D138" s="606">
        <v>28648</v>
      </c>
      <c r="E138" s="607">
        <f t="shared" si="16"/>
        <v>569</v>
      </c>
    </row>
    <row r="139" spans="1:5" s="421" customFormat="1" x14ac:dyDescent="0.2">
      <c r="A139" s="588">
        <v>3</v>
      </c>
      <c r="B139" s="587" t="s">
        <v>781</v>
      </c>
      <c r="C139" s="606">
        <f>C140+C141</f>
        <v>22248</v>
      </c>
      <c r="D139" s="606">
        <f>D140+D141</f>
        <v>22682</v>
      </c>
      <c r="E139" s="607">
        <f t="shared" si="16"/>
        <v>434</v>
      </c>
    </row>
    <row r="140" spans="1:5" s="421" customFormat="1" x14ac:dyDescent="0.2">
      <c r="A140" s="588">
        <v>4</v>
      </c>
      <c r="B140" s="587" t="s">
        <v>115</v>
      </c>
      <c r="C140" s="606">
        <v>22248</v>
      </c>
      <c r="D140" s="606">
        <v>22682</v>
      </c>
      <c r="E140" s="607">
        <f t="shared" si="16"/>
        <v>434</v>
      </c>
    </row>
    <row r="141" spans="1:5" s="421" customFormat="1" x14ac:dyDescent="0.2">
      <c r="A141" s="588">
        <v>5</v>
      </c>
      <c r="B141" s="587" t="s">
        <v>747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413</v>
      </c>
      <c r="D142" s="606">
        <v>608</v>
      </c>
      <c r="E142" s="607">
        <f t="shared" si="16"/>
        <v>195</v>
      </c>
    </row>
    <row r="143" spans="1:5" s="421" customFormat="1" x14ac:dyDescent="0.2">
      <c r="A143" s="588">
        <v>7</v>
      </c>
      <c r="B143" s="587" t="s">
        <v>762</v>
      </c>
      <c r="C143" s="606">
        <v>1339</v>
      </c>
      <c r="D143" s="606">
        <v>1457</v>
      </c>
      <c r="E143" s="607">
        <f t="shared" si="16"/>
        <v>118</v>
      </c>
    </row>
    <row r="144" spans="1:5" s="421" customFormat="1" x14ac:dyDescent="0.2">
      <c r="A144" s="588"/>
      <c r="B144" s="592" t="s">
        <v>811</v>
      </c>
      <c r="C144" s="608">
        <f>SUM(C138+C139+C142)</f>
        <v>50740</v>
      </c>
      <c r="D144" s="608">
        <f>SUM(D138+D139+D142)</f>
        <v>51938</v>
      </c>
      <c r="E144" s="609">
        <f t="shared" si="16"/>
        <v>1198</v>
      </c>
    </row>
    <row r="145" spans="1:5" s="421" customFormat="1" x14ac:dyDescent="0.2">
      <c r="A145" s="588"/>
      <c r="B145" s="592" t="s">
        <v>138</v>
      </c>
      <c r="C145" s="608">
        <f>SUM(C137+C144)</f>
        <v>78452</v>
      </c>
      <c r="D145" s="608">
        <f>SUM(D137+D144)</f>
        <v>79490</v>
      </c>
      <c r="E145" s="609">
        <f t="shared" si="16"/>
        <v>1038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660</v>
      </c>
      <c r="C149" s="610">
        <v>124961</v>
      </c>
      <c r="D149" s="610">
        <v>123019</v>
      </c>
      <c r="E149" s="607">
        <f t="shared" ref="E149:E157" si="17">D149-C149</f>
        <v>-1942</v>
      </c>
    </row>
    <row r="150" spans="1:5" s="421" customFormat="1" x14ac:dyDescent="0.2">
      <c r="A150" s="588">
        <v>2</v>
      </c>
      <c r="B150" s="587" t="s">
        <v>639</v>
      </c>
      <c r="C150" s="610">
        <v>179809</v>
      </c>
      <c r="D150" s="610">
        <v>187359</v>
      </c>
      <c r="E150" s="607">
        <f t="shared" si="17"/>
        <v>7550</v>
      </c>
    </row>
    <row r="151" spans="1:5" s="421" customFormat="1" x14ac:dyDescent="0.2">
      <c r="A151" s="588">
        <v>3</v>
      </c>
      <c r="B151" s="587" t="s">
        <v>781</v>
      </c>
      <c r="C151" s="610">
        <f>C152+C153</f>
        <v>122293</v>
      </c>
      <c r="D151" s="610">
        <f>D152+D153</f>
        <v>124601</v>
      </c>
      <c r="E151" s="607">
        <f t="shared" si="17"/>
        <v>2308</v>
      </c>
    </row>
    <row r="152" spans="1:5" s="421" customFormat="1" x14ac:dyDescent="0.2">
      <c r="A152" s="588">
        <v>4</v>
      </c>
      <c r="B152" s="587" t="s">
        <v>115</v>
      </c>
      <c r="C152" s="610">
        <v>122293</v>
      </c>
      <c r="D152" s="610">
        <v>124601</v>
      </c>
      <c r="E152" s="607">
        <f t="shared" si="17"/>
        <v>2308</v>
      </c>
    </row>
    <row r="153" spans="1:5" s="421" customFormat="1" x14ac:dyDescent="0.2">
      <c r="A153" s="588">
        <v>5</v>
      </c>
      <c r="B153" s="587" t="s">
        <v>747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1577</v>
      </c>
      <c r="D154" s="610">
        <v>2595</v>
      </c>
      <c r="E154" s="607">
        <f t="shared" si="17"/>
        <v>1018</v>
      </c>
    </row>
    <row r="155" spans="1:5" s="421" customFormat="1" x14ac:dyDescent="0.2">
      <c r="A155" s="588">
        <v>7</v>
      </c>
      <c r="B155" s="587" t="s">
        <v>762</v>
      </c>
      <c r="C155" s="610">
        <v>6526</v>
      </c>
      <c r="D155" s="610">
        <v>5918</v>
      </c>
      <c r="E155" s="607">
        <f t="shared" si="17"/>
        <v>-608</v>
      </c>
    </row>
    <row r="156" spans="1:5" s="421" customFormat="1" x14ac:dyDescent="0.2">
      <c r="A156" s="588"/>
      <c r="B156" s="592" t="s">
        <v>812</v>
      </c>
      <c r="C156" s="608">
        <f>SUM(C150+C151+C154)</f>
        <v>303679</v>
      </c>
      <c r="D156" s="608">
        <f>SUM(D150+D151+D154)</f>
        <v>314555</v>
      </c>
      <c r="E156" s="609">
        <f t="shared" si="17"/>
        <v>10876</v>
      </c>
    </row>
    <row r="157" spans="1:5" s="421" customFormat="1" x14ac:dyDescent="0.2">
      <c r="A157" s="588"/>
      <c r="B157" s="592" t="s">
        <v>140</v>
      </c>
      <c r="C157" s="608">
        <f>SUM(C149+C156)</f>
        <v>428640</v>
      </c>
      <c r="D157" s="608">
        <f>SUM(D149+D156)</f>
        <v>437574</v>
      </c>
      <c r="E157" s="609">
        <f t="shared" si="17"/>
        <v>8934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813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660</v>
      </c>
      <c r="C161" s="612">
        <f t="shared" ref="C161:D169" si="18">IF(C137=0,0,C149/C137)</f>
        <v>4.50927396073903</v>
      </c>
      <c r="D161" s="612">
        <f t="shared" si="18"/>
        <v>4.4649753193960509</v>
      </c>
      <c r="E161" s="613">
        <f t="shared" ref="E161:E169" si="19">D161-C161</f>
        <v>-4.4298641342979117E-2</v>
      </c>
    </row>
    <row r="162" spans="1:5" s="421" customFormat="1" x14ac:dyDescent="0.2">
      <c r="A162" s="588">
        <v>2</v>
      </c>
      <c r="B162" s="587" t="s">
        <v>639</v>
      </c>
      <c r="C162" s="612">
        <f t="shared" si="18"/>
        <v>6.4036824673243347</v>
      </c>
      <c r="D162" s="612">
        <f t="shared" si="18"/>
        <v>6.5400376989667688</v>
      </c>
      <c r="E162" s="613">
        <f t="shared" si="19"/>
        <v>0.13635523164243413</v>
      </c>
    </row>
    <row r="163" spans="1:5" s="421" customFormat="1" x14ac:dyDescent="0.2">
      <c r="A163" s="588">
        <v>3</v>
      </c>
      <c r="B163" s="587" t="s">
        <v>781</v>
      </c>
      <c r="C163" s="612">
        <f t="shared" si="18"/>
        <v>5.4968087019057892</v>
      </c>
      <c r="D163" s="612">
        <f t="shared" si="18"/>
        <v>5.4933868265585044</v>
      </c>
      <c r="E163" s="613">
        <f t="shared" si="19"/>
        <v>-3.4218753472847752E-3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5.4968087019057892</v>
      </c>
      <c r="D164" s="612">
        <f t="shared" si="18"/>
        <v>5.4933868265585044</v>
      </c>
      <c r="E164" s="613">
        <f t="shared" si="19"/>
        <v>-3.4218753472847752E-3</v>
      </c>
    </row>
    <row r="165" spans="1:5" s="421" customFormat="1" x14ac:dyDescent="0.2">
      <c r="A165" s="588">
        <v>5</v>
      </c>
      <c r="B165" s="587" t="s">
        <v>747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3.8184019370460049</v>
      </c>
      <c r="D166" s="612">
        <f t="shared" si="18"/>
        <v>4.2680921052631575</v>
      </c>
      <c r="E166" s="613">
        <f t="shared" si="19"/>
        <v>0.44969016821715257</v>
      </c>
    </row>
    <row r="167" spans="1:5" s="421" customFormat="1" x14ac:dyDescent="0.2">
      <c r="A167" s="588">
        <v>7</v>
      </c>
      <c r="B167" s="587" t="s">
        <v>762</v>
      </c>
      <c r="C167" s="612">
        <f t="shared" si="18"/>
        <v>4.8737864077669899</v>
      </c>
      <c r="D167" s="612">
        <f t="shared" si="18"/>
        <v>4.0617707618393961</v>
      </c>
      <c r="E167" s="613">
        <f t="shared" si="19"/>
        <v>-0.81201564592759379</v>
      </c>
    </row>
    <row r="168" spans="1:5" s="421" customFormat="1" x14ac:dyDescent="0.2">
      <c r="A168" s="588"/>
      <c r="B168" s="592" t="s">
        <v>814</v>
      </c>
      <c r="C168" s="614">
        <f t="shared" si="18"/>
        <v>5.9850019708316911</v>
      </c>
      <c r="D168" s="614">
        <f t="shared" si="18"/>
        <v>6.0563556548192077</v>
      </c>
      <c r="E168" s="615">
        <f t="shared" si="19"/>
        <v>7.1353683987516625E-2</v>
      </c>
    </row>
    <row r="169" spans="1:5" s="421" customFormat="1" x14ac:dyDescent="0.2">
      <c r="A169" s="588"/>
      <c r="B169" s="592" t="s">
        <v>748</v>
      </c>
      <c r="C169" s="614">
        <f t="shared" si="18"/>
        <v>5.4637230408402591</v>
      </c>
      <c r="D169" s="614">
        <f t="shared" si="18"/>
        <v>5.5047678953327459</v>
      </c>
      <c r="E169" s="615">
        <f t="shared" si="19"/>
        <v>4.1044854492486849E-2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815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660</v>
      </c>
      <c r="C173" s="617">
        <f t="shared" ref="C173:D181" si="20">IF(C137=0,0,C203/C137)</f>
        <v>1.47</v>
      </c>
      <c r="D173" s="617">
        <f t="shared" si="20"/>
        <v>1.5076000000000001</v>
      </c>
      <c r="E173" s="618">
        <f t="shared" ref="E173:E181" si="21">D173-C173</f>
        <v>3.7600000000000078E-2</v>
      </c>
    </row>
    <row r="174" spans="1:5" s="421" customFormat="1" x14ac:dyDescent="0.2">
      <c r="A174" s="588">
        <v>2</v>
      </c>
      <c r="B174" s="587" t="s">
        <v>639</v>
      </c>
      <c r="C174" s="617">
        <f t="shared" si="20"/>
        <v>1.8099999999999998</v>
      </c>
      <c r="D174" s="617">
        <f t="shared" si="20"/>
        <v>1.8504</v>
      </c>
      <c r="E174" s="618">
        <f t="shared" si="21"/>
        <v>4.0400000000000214E-2</v>
      </c>
    </row>
    <row r="175" spans="1:5" s="421" customFormat="1" x14ac:dyDescent="0.2">
      <c r="A175" s="588">
        <v>3</v>
      </c>
      <c r="B175" s="587" t="s">
        <v>781</v>
      </c>
      <c r="C175" s="617">
        <f t="shared" si="20"/>
        <v>1.27</v>
      </c>
      <c r="D175" s="617">
        <f t="shared" si="20"/>
        <v>1.3186</v>
      </c>
      <c r="E175" s="618">
        <f t="shared" si="21"/>
        <v>4.8599999999999977E-2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1.27</v>
      </c>
      <c r="D176" s="617">
        <f t="shared" si="20"/>
        <v>1.3186</v>
      </c>
      <c r="E176" s="618">
        <f t="shared" si="21"/>
        <v>4.8599999999999977E-2</v>
      </c>
    </row>
    <row r="177" spans="1:5" s="421" customFormat="1" x14ac:dyDescent="0.2">
      <c r="A177" s="588">
        <v>5</v>
      </c>
      <c r="B177" s="587" t="s">
        <v>747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1.3200000000000003</v>
      </c>
      <c r="D178" s="617">
        <f t="shared" si="20"/>
        <v>1.2335</v>
      </c>
      <c r="E178" s="618">
        <f t="shared" si="21"/>
        <v>-8.6500000000000243E-2</v>
      </c>
    </row>
    <row r="179" spans="1:5" s="421" customFormat="1" x14ac:dyDescent="0.2">
      <c r="A179" s="588">
        <v>7</v>
      </c>
      <c r="B179" s="587" t="s">
        <v>762</v>
      </c>
      <c r="C179" s="617">
        <f t="shared" si="20"/>
        <v>1.6</v>
      </c>
      <c r="D179" s="617">
        <f t="shared" si="20"/>
        <v>1.4764999999999999</v>
      </c>
      <c r="E179" s="618">
        <f t="shared" si="21"/>
        <v>-0.12350000000000017</v>
      </c>
    </row>
    <row r="180" spans="1:5" s="421" customFormat="1" x14ac:dyDescent="0.2">
      <c r="A180" s="588"/>
      <c r="B180" s="592" t="s">
        <v>816</v>
      </c>
      <c r="C180" s="619">
        <f t="shared" si="20"/>
        <v>1.5692374852187623</v>
      </c>
      <c r="D180" s="619">
        <f t="shared" si="20"/>
        <v>1.6109344295121104</v>
      </c>
      <c r="E180" s="620">
        <f t="shared" si="21"/>
        <v>4.1696944293348137E-2</v>
      </c>
    </row>
    <row r="181" spans="1:5" s="421" customFormat="1" x14ac:dyDescent="0.2">
      <c r="A181" s="588"/>
      <c r="B181" s="592" t="s">
        <v>727</v>
      </c>
      <c r="C181" s="619">
        <f t="shared" si="20"/>
        <v>1.5341833222862387</v>
      </c>
      <c r="D181" s="619">
        <f t="shared" si="20"/>
        <v>1.5751177204679832</v>
      </c>
      <c r="E181" s="620">
        <f t="shared" si="21"/>
        <v>4.0934398181744491E-2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817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818</v>
      </c>
      <c r="C185" s="589">
        <v>3045751782</v>
      </c>
      <c r="D185" s="589">
        <v>3053697890</v>
      </c>
      <c r="E185" s="590">
        <f>D185-C185</f>
        <v>7946108</v>
      </c>
    </row>
    <row r="186" spans="1:5" s="421" customFormat="1" ht="25.5" x14ac:dyDescent="0.2">
      <c r="A186" s="588">
        <v>2</v>
      </c>
      <c r="B186" s="587" t="s">
        <v>819</v>
      </c>
      <c r="C186" s="589">
        <v>1342232256</v>
      </c>
      <c r="D186" s="589">
        <v>1406447225</v>
      </c>
      <c r="E186" s="590">
        <f>D186-C186</f>
        <v>64214969</v>
      </c>
    </row>
    <row r="187" spans="1:5" s="421" customFormat="1" x14ac:dyDescent="0.2">
      <c r="A187" s="588"/>
      <c r="B187" s="587" t="s">
        <v>672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751</v>
      </c>
      <c r="C188" s="622">
        <f>+C185-C186</f>
        <v>1703519526</v>
      </c>
      <c r="D188" s="622">
        <f>+D185-D186</f>
        <v>1647250665</v>
      </c>
      <c r="E188" s="590">
        <f t="shared" ref="E188:E197" si="22">D188-C188</f>
        <v>-56268861</v>
      </c>
    </row>
    <row r="189" spans="1:5" s="421" customFormat="1" x14ac:dyDescent="0.2">
      <c r="A189" s="588">
        <v>4</v>
      </c>
      <c r="B189" s="587" t="s">
        <v>674</v>
      </c>
      <c r="C189" s="623">
        <f>IF(C185=0,0,+C188/C185)</f>
        <v>0.55931003178511807</v>
      </c>
      <c r="D189" s="623">
        <f>IF(D185=0,0,+D188/D185)</f>
        <v>0.53942817015209055</v>
      </c>
      <c r="E189" s="599">
        <f t="shared" si="22"/>
        <v>-1.988186163302752E-2</v>
      </c>
    </row>
    <row r="190" spans="1:5" s="421" customFormat="1" x14ac:dyDescent="0.2">
      <c r="A190" s="588">
        <v>5</v>
      </c>
      <c r="B190" s="587" t="s">
        <v>766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752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820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821</v>
      </c>
      <c r="C193" s="589">
        <v>41146000</v>
      </c>
      <c r="D193" s="589">
        <v>45213000</v>
      </c>
      <c r="E193" s="622">
        <f t="shared" si="22"/>
        <v>4067000</v>
      </c>
    </row>
    <row r="194" spans="1:5" s="421" customFormat="1" x14ac:dyDescent="0.2">
      <c r="A194" s="588">
        <v>9</v>
      </c>
      <c r="B194" s="587" t="s">
        <v>822</v>
      </c>
      <c r="C194" s="589">
        <v>134519000</v>
      </c>
      <c r="D194" s="589">
        <v>149038000</v>
      </c>
      <c r="E194" s="622">
        <f t="shared" si="22"/>
        <v>14519000</v>
      </c>
    </row>
    <row r="195" spans="1:5" s="421" customFormat="1" x14ac:dyDescent="0.2">
      <c r="A195" s="588">
        <v>10</v>
      </c>
      <c r="B195" s="587" t="s">
        <v>823</v>
      </c>
      <c r="C195" s="589">
        <f>+C193+C194</f>
        <v>175665000</v>
      </c>
      <c r="D195" s="589">
        <f>+D193+D194</f>
        <v>194251000</v>
      </c>
      <c r="E195" s="625">
        <f t="shared" si="22"/>
        <v>18586000</v>
      </c>
    </row>
    <row r="196" spans="1:5" s="421" customFormat="1" x14ac:dyDescent="0.2">
      <c r="A196" s="588">
        <v>11</v>
      </c>
      <c r="B196" s="587" t="s">
        <v>824</v>
      </c>
      <c r="C196" s="589">
        <v>3237338</v>
      </c>
      <c r="D196" s="589">
        <v>4142430</v>
      </c>
      <c r="E196" s="622">
        <f t="shared" si="22"/>
        <v>905092</v>
      </c>
    </row>
    <row r="197" spans="1:5" s="421" customFormat="1" x14ac:dyDescent="0.2">
      <c r="A197" s="588">
        <v>12</v>
      </c>
      <c r="B197" s="587" t="s">
        <v>714</v>
      </c>
      <c r="C197" s="589">
        <v>2413364000</v>
      </c>
      <c r="D197" s="589">
        <v>2580344000</v>
      </c>
      <c r="E197" s="622">
        <f t="shared" si="22"/>
        <v>166980000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825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826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660</v>
      </c>
      <c r="C203" s="629">
        <v>40736.639999999999</v>
      </c>
      <c r="D203" s="629">
        <v>41537.395199999999</v>
      </c>
      <c r="E203" s="630">
        <f t="shared" ref="E203:E211" si="23">D203-C203</f>
        <v>800.7551999999996</v>
      </c>
    </row>
    <row r="204" spans="1:5" s="421" customFormat="1" x14ac:dyDescent="0.2">
      <c r="A204" s="588">
        <v>2</v>
      </c>
      <c r="B204" s="587" t="s">
        <v>639</v>
      </c>
      <c r="C204" s="629">
        <v>50822.99</v>
      </c>
      <c r="D204" s="629">
        <v>53010.2592</v>
      </c>
      <c r="E204" s="630">
        <f t="shared" si="23"/>
        <v>2187.2692000000025</v>
      </c>
    </row>
    <row r="205" spans="1:5" s="421" customFormat="1" x14ac:dyDescent="0.2">
      <c r="A205" s="588">
        <v>3</v>
      </c>
      <c r="B205" s="587" t="s">
        <v>781</v>
      </c>
      <c r="C205" s="629">
        <f>C206+C207</f>
        <v>28254.959999999999</v>
      </c>
      <c r="D205" s="629">
        <f>D206+D207</f>
        <v>29908.485199999999</v>
      </c>
      <c r="E205" s="630">
        <f t="shared" si="23"/>
        <v>1653.5252</v>
      </c>
    </row>
    <row r="206" spans="1:5" s="421" customFormat="1" x14ac:dyDescent="0.2">
      <c r="A206" s="588">
        <v>4</v>
      </c>
      <c r="B206" s="587" t="s">
        <v>115</v>
      </c>
      <c r="C206" s="629">
        <v>28254.959999999999</v>
      </c>
      <c r="D206" s="629">
        <v>29908.485199999999</v>
      </c>
      <c r="E206" s="630">
        <f t="shared" si="23"/>
        <v>1653.5252</v>
      </c>
    </row>
    <row r="207" spans="1:5" s="421" customFormat="1" x14ac:dyDescent="0.2">
      <c r="A207" s="588">
        <v>5</v>
      </c>
      <c r="B207" s="587" t="s">
        <v>747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545.16000000000008</v>
      </c>
      <c r="D208" s="629">
        <v>749.96800000000007</v>
      </c>
      <c r="E208" s="630">
        <f t="shared" si="23"/>
        <v>204.80799999999999</v>
      </c>
    </row>
    <row r="209" spans="1:5" s="421" customFormat="1" x14ac:dyDescent="0.2">
      <c r="A209" s="588">
        <v>7</v>
      </c>
      <c r="B209" s="587" t="s">
        <v>762</v>
      </c>
      <c r="C209" s="629">
        <v>2142.4</v>
      </c>
      <c r="D209" s="629">
        <v>2151.2604999999999</v>
      </c>
      <c r="E209" s="630">
        <f t="shared" si="23"/>
        <v>8.8604999999997744</v>
      </c>
    </row>
    <row r="210" spans="1:5" s="421" customFormat="1" x14ac:dyDescent="0.2">
      <c r="A210" s="588"/>
      <c r="B210" s="592" t="s">
        <v>827</v>
      </c>
      <c r="C210" s="631">
        <f>C204+C205+C208</f>
        <v>79623.11</v>
      </c>
      <c r="D210" s="631">
        <f>D204+D205+D208</f>
        <v>83668.712399999989</v>
      </c>
      <c r="E210" s="632">
        <f t="shared" si="23"/>
        <v>4045.6023999999888</v>
      </c>
    </row>
    <row r="211" spans="1:5" s="421" customFormat="1" x14ac:dyDescent="0.2">
      <c r="A211" s="588"/>
      <c r="B211" s="592" t="s">
        <v>728</v>
      </c>
      <c r="C211" s="631">
        <f>C210+C203</f>
        <v>120359.75</v>
      </c>
      <c r="D211" s="631">
        <f>D210+D203</f>
        <v>125206.10759999999</v>
      </c>
      <c r="E211" s="632">
        <f t="shared" si="23"/>
        <v>4846.3575999999885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828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660</v>
      </c>
      <c r="C215" s="633">
        <f>IF(C14*C137=0,0,C25/C14*C137)</f>
        <v>32023.748139375712</v>
      </c>
      <c r="D215" s="633">
        <f>IF(D14*D137=0,0,D25/D14*D137)</f>
        <v>32602.631111778705</v>
      </c>
      <c r="E215" s="633">
        <f t="shared" ref="E215:E223" si="24">D215-C215</f>
        <v>578.88297240299289</v>
      </c>
    </row>
    <row r="216" spans="1:5" s="421" customFormat="1" x14ac:dyDescent="0.2">
      <c r="A216" s="588">
        <v>2</v>
      </c>
      <c r="B216" s="587" t="s">
        <v>639</v>
      </c>
      <c r="C216" s="633">
        <f>IF(C15*C138=0,0,C26/C15*C138)</f>
        <v>22389.292075584468</v>
      </c>
      <c r="D216" s="633">
        <f>IF(D15*D138=0,0,D26/D15*D138)</f>
        <v>23865.041278045876</v>
      </c>
      <c r="E216" s="633">
        <f t="shared" si="24"/>
        <v>1475.7492024614075</v>
      </c>
    </row>
    <row r="217" spans="1:5" s="421" customFormat="1" x14ac:dyDescent="0.2">
      <c r="A217" s="588">
        <v>3</v>
      </c>
      <c r="B217" s="587" t="s">
        <v>781</v>
      </c>
      <c r="C217" s="633">
        <f>C218+C219</f>
        <v>15138.684140126641</v>
      </c>
      <c r="D217" s="633">
        <f>D218+D219</f>
        <v>16254.326212025277</v>
      </c>
      <c r="E217" s="633">
        <f t="shared" si="24"/>
        <v>1115.6420718986355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15138.684140126641</v>
      </c>
      <c r="D218" s="633">
        <f t="shared" si="25"/>
        <v>16254.326212025277</v>
      </c>
      <c r="E218" s="633">
        <f t="shared" si="24"/>
        <v>1115.6420718986355</v>
      </c>
    </row>
    <row r="219" spans="1:5" s="421" customFormat="1" x14ac:dyDescent="0.2">
      <c r="A219" s="588">
        <v>5</v>
      </c>
      <c r="B219" s="587" t="s">
        <v>747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410.24079056295523</v>
      </c>
      <c r="D220" s="633">
        <f t="shared" si="25"/>
        <v>286.19789475537618</v>
      </c>
      <c r="E220" s="633">
        <f t="shared" si="24"/>
        <v>-124.04289580757904</v>
      </c>
    </row>
    <row r="221" spans="1:5" s="421" customFormat="1" x14ac:dyDescent="0.2">
      <c r="A221" s="588">
        <v>7</v>
      </c>
      <c r="B221" s="587" t="s">
        <v>762</v>
      </c>
      <c r="C221" s="633">
        <f t="shared" si="25"/>
        <v>1613.3077862072346</v>
      </c>
      <c r="D221" s="633">
        <f t="shared" si="25"/>
        <v>1753.5431910524051</v>
      </c>
      <c r="E221" s="633">
        <f t="shared" si="24"/>
        <v>140.23540484517048</v>
      </c>
    </row>
    <row r="222" spans="1:5" s="421" customFormat="1" x14ac:dyDescent="0.2">
      <c r="A222" s="588"/>
      <c r="B222" s="592" t="s">
        <v>829</v>
      </c>
      <c r="C222" s="634">
        <f>C216+C218+C219+C220</f>
        <v>37938.217006274062</v>
      </c>
      <c r="D222" s="634">
        <f>D216+D218+D219+D220</f>
        <v>40405.565384826521</v>
      </c>
      <c r="E222" s="634">
        <f t="shared" si="24"/>
        <v>2467.3483785524586</v>
      </c>
    </row>
    <row r="223" spans="1:5" s="421" customFormat="1" x14ac:dyDescent="0.2">
      <c r="A223" s="588"/>
      <c r="B223" s="592" t="s">
        <v>830</v>
      </c>
      <c r="C223" s="634">
        <f>C215+C222</f>
        <v>69961.965145649767</v>
      </c>
      <c r="D223" s="634">
        <f>D215+D222</f>
        <v>73008.196496605233</v>
      </c>
      <c r="E223" s="634">
        <f t="shared" si="24"/>
        <v>3046.231350955466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831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660</v>
      </c>
      <c r="C227" s="636">
        <f t="shared" ref="C227:D235" si="26">IF(C203=0,0,C47/C203)</f>
        <v>16792.496116518199</v>
      </c>
      <c r="D227" s="636">
        <f t="shared" si="26"/>
        <v>18757.112241838411</v>
      </c>
      <c r="E227" s="636">
        <f t="shared" ref="E227:E235" si="27">D227-C227</f>
        <v>1964.6161253202117</v>
      </c>
    </row>
    <row r="228" spans="1:5" s="421" customFormat="1" x14ac:dyDescent="0.2">
      <c r="A228" s="588">
        <v>2</v>
      </c>
      <c r="B228" s="587" t="s">
        <v>639</v>
      </c>
      <c r="C228" s="636">
        <f t="shared" si="26"/>
        <v>12345.353097092478</v>
      </c>
      <c r="D228" s="636">
        <f t="shared" si="26"/>
        <v>9899.1003613127014</v>
      </c>
      <c r="E228" s="636">
        <f t="shared" si="27"/>
        <v>-2446.2527357797771</v>
      </c>
    </row>
    <row r="229" spans="1:5" s="421" customFormat="1" x14ac:dyDescent="0.2">
      <c r="A229" s="588">
        <v>3</v>
      </c>
      <c r="B229" s="587" t="s">
        <v>781</v>
      </c>
      <c r="C229" s="636">
        <f t="shared" si="26"/>
        <v>4634.9641974364858</v>
      </c>
      <c r="D229" s="636">
        <f t="shared" si="26"/>
        <v>5485.9082264721319</v>
      </c>
      <c r="E229" s="636">
        <f t="shared" si="27"/>
        <v>850.94402903564605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4634.9641974364858</v>
      </c>
      <c r="D230" s="636">
        <f t="shared" si="26"/>
        <v>5485.9082264721319</v>
      </c>
      <c r="E230" s="636">
        <f t="shared" si="27"/>
        <v>850.94402903564605</v>
      </c>
    </row>
    <row r="231" spans="1:5" s="421" customFormat="1" x14ac:dyDescent="0.2">
      <c r="A231" s="588">
        <v>5</v>
      </c>
      <c r="B231" s="587" t="s">
        <v>747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8223.7123046445067</v>
      </c>
      <c r="D232" s="636">
        <f t="shared" si="26"/>
        <v>27200.360548716744</v>
      </c>
      <c r="E232" s="636">
        <f t="shared" si="27"/>
        <v>18976.648244072239</v>
      </c>
    </row>
    <row r="233" spans="1:5" s="421" customFormat="1" x14ac:dyDescent="0.2">
      <c r="A233" s="588">
        <v>7</v>
      </c>
      <c r="B233" s="587" t="s">
        <v>762</v>
      </c>
      <c r="C233" s="636">
        <f t="shared" si="26"/>
        <v>12864.190160567587</v>
      </c>
      <c r="D233" s="636">
        <f t="shared" si="26"/>
        <v>25055.791709093344</v>
      </c>
      <c r="E233" s="636">
        <f t="shared" si="27"/>
        <v>12191.601548525758</v>
      </c>
    </row>
    <row r="234" spans="1:5" x14ac:dyDescent="0.2">
      <c r="A234" s="588"/>
      <c r="B234" s="592" t="s">
        <v>832</v>
      </c>
      <c r="C234" s="637">
        <f t="shared" si="26"/>
        <v>9581.0339987975858</v>
      </c>
      <c r="D234" s="637">
        <f t="shared" si="26"/>
        <v>8476.6271722857309</v>
      </c>
      <c r="E234" s="637">
        <f t="shared" si="27"/>
        <v>-1104.4068265118549</v>
      </c>
    </row>
    <row r="235" spans="1:5" s="421" customFormat="1" x14ac:dyDescent="0.2">
      <c r="A235" s="588"/>
      <c r="B235" s="592" t="s">
        <v>833</v>
      </c>
      <c r="C235" s="637">
        <f t="shared" si="26"/>
        <v>12021.806235057817</v>
      </c>
      <c r="D235" s="637">
        <f t="shared" si="26"/>
        <v>11887.20018159881</v>
      </c>
      <c r="E235" s="637">
        <f t="shared" si="27"/>
        <v>-134.60605345900694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834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660</v>
      </c>
      <c r="C239" s="636">
        <f t="shared" ref="C239:D247" si="28">IF(C215=0,0,C58/C215)</f>
        <v>23074.976101607743</v>
      </c>
      <c r="D239" s="636">
        <f t="shared" si="28"/>
        <v>24328.100062864145</v>
      </c>
      <c r="E239" s="638">
        <f t="shared" ref="E239:E247" si="29">D239-C239</f>
        <v>1253.1239612564023</v>
      </c>
    </row>
    <row r="240" spans="1:5" s="421" customFormat="1" x14ac:dyDescent="0.2">
      <c r="A240" s="588">
        <v>2</v>
      </c>
      <c r="B240" s="587" t="s">
        <v>639</v>
      </c>
      <c r="C240" s="636">
        <f t="shared" si="28"/>
        <v>11112.279662978368</v>
      </c>
      <c r="D240" s="636">
        <f t="shared" si="28"/>
        <v>11542.461996636253</v>
      </c>
      <c r="E240" s="638">
        <f t="shared" si="29"/>
        <v>430.18233365788547</v>
      </c>
    </row>
    <row r="241" spans="1:5" x14ac:dyDescent="0.2">
      <c r="A241" s="588">
        <v>3</v>
      </c>
      <c r="B241" s="587" t="s">
        <v>781</v>
      </c>
      <c r="C241" s="636">
        <f t="shared" si="28"/>
        <v>7889.2135468651704</v>
      </c>
      <c r="D241" s="636">
        <f t="shared" si="28"/>
        <v>6286.6937495324028</v>
      </c>
      <c r="E241" s="638">
        <f t="shared" si="29"/>
        <v>-1602.5197973327677</v>
      </c>
    </row>
    <row r="242" spans="1:5" x14ac:dyDescent="0.2">
      <c r="A242" s="588">
        <v>4</v>
      </c>
      <c r="B242" s="587" t="s">
        <v>115</v>
      </c>
      <c r="C242" s="636">
        <f t="shared" si="28"/>
        <v>7889.2135468651704</v>
      </c>
      <c r="D242" s="636">
        <f t="shared" si="28"/>
        <v>6286.6937495324028</v>
      </c>
      <c r="E242" s="638">
        <f t="shared" si="29"/>
        <v>-1602.5197973327677</v>
      </c>
    </row>
    <row r="243" spans="1:5" x14ac:dyDescent="0.2">
      <c r="A243" s="588">
        <v>5</v>
      </c>
      <c r="B243" s="587" t="s">
        <v>747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3704.1782166876033</v>
      </c>
      <c r="D244" s="636">
        <f t="shared" si="28"/>
        <v>18810.819711310505</v>
      </c>
      <c r="E244" s="638">
        <f t="shared" si="29"/>
        <v>15106.641494622902</v>
      </c>
    </row>
    <row r="245" spans="1:5" x14ac:dyDescent="0.2">
      <c r="A245" s="588">
        <v>7</v>
      </c>
      <c r="B245" s="587" t="s">
        <v>762</v>
      </c>
      <c r="C245" s="636">
        <f t="shared" si="28"/>
        <v>7904.4030587489733</v>
      </c>
      <c r="D245" s="636">
        <f t="shared" si="28"/>
        <v>28118.405780702811</v>
      </c>
      <c r="E245" s="638">
        <f t="shared" si="29"/>
        <v>20214.002721953839</v>
      </c>
    </row>
    <row r="246" spans="1:5" ht="25.5" x14ac:dyDescent="0.2">
      <c r="A246" s="588"/>
      <c r="B246" s="592" t="s">
        <v>835</v>
      </c>
      <c r="C246" s="637">
        <f t="shared" si="28"/>
        <v>9746.0561190541102</v>
      </c>
      <c r="D246" s="637">
        <f t="shared" si="28"/>
        <v>9479.6574766861049</v>
      </c>
      <c r="E246" s="639">
        <f t="shared" si="29"/>
        <v>-266.39864236800531</v>
      </c>
    </row>
    <row r="247" spans="1:5" x14ac:dyDescent="0.2">
      <c r="A247" s="588"/>
      <c r="B247" s="592" t="s">
        <v>836</v>
      </c>
      <c r="C247" s="637">
        <f t="shared" si="28"/>
        <v>15847.113680867476</v>
      </c>
      <c r="D247" s="637">
        <f t="shared" si="28"/>
        <v>16110.396482053779</v>
      </c>
      <c r="E247" s="639">
        <f t="shared" si="29"/>
        <v>263.28280118630209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764</v>
      </c>
      <c r="B249" s="626" t="s">
        <v>761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48792979.894582435</v>
      </c>
      <c r="D251" s="622">
        <f>((IF((IF(D15=0,0,D26/D15)*D138)=0,0,D59/(IF(D15=0,0,D26/D15)*D138)))-(IF((IF(D17=0,0,D28/D17)*D140)=0,0,D61/(IF(D17=0,0,D28/D17)*D140))))*(IF(D17=0,0,D28/D17)*D140)</f>
        <v>85428971.583230257</v>
      </c>
      <c r="E251" s="622">
        <f>D251-C251</f>
        <v>36635991.688647822</v>
      </c>
    </row>
    <row r="252" spans="1:5" x14ac:dyDescent="0.2">
      <c r="A252" s="588">
        <v>2</v>
      </c>
      <c r="B252" s="587" t="s">
        <v>747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762</v>
      </c>
      <c r="C253" s="622">
        <f>IF(C233=0,0,(C228-C233)*C209+IF(C221=0,0,(C240-C245)*C221))</f>
        <v>4063735.7780062342</v>
      </c>
      <c r="D253" s="622">
        <f>IF(D233=0,0,(D228-D233)*D209+IF(D221=0,0,(D240-D245)*D221))</f>
        <v>-61672624.764989607</v>
      </c>
      <c r="E253" s="622">
        <f>D253-C253</f>
        <v>-65736360.54299584</v>
      </c>
    </row>
    <row r="254" spans="1:5" ht="15" customHeight="1" x14ac:dyDescent="0.2">
      <c r="A254" s="588"/>
      <c r="B254" s="592" t="s">
        <v>763</v>
      </c>
      <c r="C254" s="640">
        <f>+C251+C252+C253</f>
        <v>52856715.672588669</v>
      </c>
      <c r="D254" s="640">
        <f>+D251+D252+D253</f>
        <v>23756346.81824065</v>
      </c>
      <c r="E254" s="640">
        <f>D254-C254</f>
        <v>-29100368.854348019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837</v>
      </c>
      <c r="B256" s="626" t="s">
        <v>838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729</v>
      </c>
      <c r="C258" s="622">
        <f>+C44</f>
        <v>8723514793</v>
      </c>
      <c r="D258" s="625">
        <f>+D44</f>
        <v>8895439581</v>
      </c>
      <c r="E258" s="622">
        <f t="shared" ref="E258:E271" si="30">D258-C258</f>
        <v>171924788</v>
      </c>
    </row>
    <row r="259" spans="1:5" x14ac:dyDescent="0.2">
      <c r="A259" s="588">
        <v>2</v>
      </c>
      <c r="B259" s="587" t="s">
        <v>746</v>
      </c>
      <c r="C259" s="622">
        <f>+(C43-C76)</f>
        <v>4367718648</v>
      </c>
      <c r="D259" s="625">
        <f>+(D43-D76)</f>
        <v>4539731805</v>
      </c>
      <c r="E259" s="622">
        <f t="shared" si="30"/>
        <v>172013157</v>
      </c>
    </row>
    <row r="260" spans="1:5" x14ac:dyDescent="0.2">
      <c r="A260" s="588">
        <v>3</v>
      </c>
      <c r="B260" s="587" t="s">
        <v>750</v>
      </c>
      <c r="C260" s="622">
        <f>C195</f>
        <v>175665000</v>
      </c>
      <c r="D260" s="622">
        <f>D195</f>
        <v>194251000</v>
      </c>
      <c r="E260" s="622">
        <f t="shared" si="30"/>
        <v>18586000</v>
      </c>
    </row>
    <row r="261" spans="1:5" x14ac:dyDescent="0.2">
      <c r="A261" s="588">
        <v>4</v>
      </c>
      <c r="B261" s="587" t="s">
        <v>751</v>
      </c>
      <c r="C261" s="622">
        <f>C188</f>
        <v>1703519526</v>
      </c>
      <c r="D261" s="622">
        <f>D188</f>
        <v>1647250665</v>
      </c>
      <c r="E261" s="622">
        <f t="shared" si="30"/>
        <v>-56268861</v>
      </c>
    </row>
    <row r="262" spans="1:5" x14ac:dyDescent="0.2">
      <c r="A262" s="588">
        <v>5</v>
      </c>
      <c r="B262" s="587" t="s">
        <v>752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753</v>
      </c>
      <c r="C263" s="622">
        <f>+C259+C260+C261+C262</f>
        <v>6246903174</v>
      </c>
      <c r="D263" s="622">
        <f>+D259+D260+D261+D262</f>
        <v>6381233470</v>
      </c>
      <c r="E263" s="622">
        <f t="shared" si="30"/>
        <v>134330296</v>
      </c>
    </row>
    <row r="264" spans="1:5" x14ac:dyDescent="0.2">
      <c r="A264" s="588">
        <v>7</v>
      </c>
      <c r="B264" s="587" t="s">
        <v>658</v>
      </c>
      <c r="C264" s="622">
        <f>+C258-C263</f>
        <v>2476611619</v>
      </c>
      <c r="D264" s="622">
        <f>+D258-D263</f>
        <v>2514206111</v>
      </c>
      <c r="E264" s="622">
        <f t="shared" si="30"/>
        <v>37594492</v>
      </c>
    </row>
    <row r="265" spans="1:5" x14ac:dyDescent="0.2">
      <c r="A265" s="588">
        <v>8</v>
      </c>
      <c r="B265" s="587" t="s">
        <v>839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840</v>
      </c>
      <c r="C266" s="622">
        <f>+C264+C265</f>
        <v>2476611619</v>
      </c>
      <c r="D266" s="622">
        <f>+D264+D265</f>
        <v>2514206111</v>
      </c>
      <c r="E266" s="641">
        <f t="shared" si="30"/>
        <v>37594492</v>
      </c>
    </row>
    <row r="267" spans="1:5" x14ac:dyDescent="0.2">
      <c r="A267" s="588">
        <v>10</v>
      </c>
      <c r="B267" s="587" t="s">
        <v>841</v>
      </c>
      <c r="C267" s="642">
        <f>IF(C258=0,0,C266/C258)</f>
        <v>0.28390066134665176</v>
      </c>
      <c r="D267" s="642">
        <f>IF(D258=0,0,D266/D258)</f>
        <v>0.28263989520767002</v>
      </c>
      <c r="E267" s="643">
        <f t="shared" si="30"/>
        <v>-1.2607661389817393E-3</v>
      </c>
    </row>
    <row r="268" spans="1:5" x14ac:dyDescent="0.2">
      <c r="A268" s="588">
        <v>11</v>
      </c>
      <c r="B268" s="587" t="s">
        <v>720</v>
      </c>
      <c r="C268" s="622">
        <f>+C260*C267</f>
        <v>49871409.675459579</v>
      </c>
      <c r="D268" s="644">
        <f>+D260*D267</f>
        <v>54903082.283985108</v>
      </c>
      <c r="E268" s="622">
        <f t="shared" si="30"/>
        <v>5031672.6085255295</v>
      </c>
    </row>
    <row r="269" spans="1:5" x14ac:dyDescent="0.2">
      <c r="A269" s="588">
        <v>12</v>
      </c>
      <c r="B269" s="587" t="s">
        <v>842</v>
      </c>
      <c r="C269" s="622">
        <f>((C17+C18+C28+C29)*C267)-(C50+C51+C61+C62)</f>
        <v>297398019.82799184</v>
      </c>
      <c r="D269" s="644">
        <f>((D17+D18+D28+D29)*D267)-(D50+D51+D61+D62)</f>
        <v>278524678.53636694</v>
      </c>
      <c r="E269" s="622">
        <f t="shared" si="30"/>
        <v>-18873341.291624904</v>
      </c>
    </row>
    <row r="270" spans="1:5" s="648" customFormat="1" x14ac:dyDescent="0.2">
      <c r="A270" s="645">
        <v>13</v>
      </c>
      <c r="B270" s="646" t="s">
        <v>843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844</v>
      </c>
      <c r="C271" s="622">
        <f>+C268+C269+C270</f>
        <v>347269429.50345141</v>
      </c>
      <c r="D271" s="622">
        <f>+D268+D269+D270</f>
        <v>333427760.82035208</v>
      </c>
      <c r="E271" s="625">
        <f t="shared" si="30"/>
        <v>-13841668.683099329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845</v>
      </c>
      <c r="B273" s="626" t="s">
        <v>846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847</v>
      </c>
      <c r="C275" s="425"/>
      <c r="D275" s="425"/>
      <c r="E275" s="596"/>
    </row>
    <row r="276" spans="1:5" x14ac:dyDescent="0.2">
      <c r="A276" s="588">
        <v>1</v>
      </c>
      <c r="B276" s="587" t="s">
        <v>660</v>
      </c>
      <c r="C276" s="623">
        <f t="shared" ref="C276:D284" si="31">IF(C14=0,0,+C47/C14)</f>
        <v>0.457491279454945</v>
      </c>
      <c r="D276" s="623">
        <f t="shared" si="31"/>
        <v>0.52124803044234314</v>
      </c>
      <c r="E276" s="650">
        <f t="shared" ref="E276:E284" si="32">D276-C276</f>
        <v>6.3756750987398136E-2</v>
      </c>
    </row>
    <row r="277" spans="1:5" x14ac:dyDescent="0.2">
      <c r="A277" s="588">
        <v>2</v>
      </c>
      <c r="B277" s="587" t="s">
        <v>639</v>
      </c>
      <c r="C277" s="623">
        <f t="shared" si="31"/>
        <v>0.31938820049353689</v>
      </c>
      <c r="D277" s="623">
        <f t="shared" si="31"/>
        <v>0.26384450432380779</v>
      </c>
      <c r="E277" s="650">
        <f t="shared" si="32"/>
        <v>-5.5543696169729095E-2</v>
      </c>
    </row>
    <row r="278" spans="1:5" x14ac:dyDescent="0.2">
      <c r="A278" s="588">
        <v>3</v>
      </c>
      <c r="B278" s="587" t="s">
        <v>781</v>
      </c>
      <c r="C278" s="623">
        <f t="shared" si="31"/>
        <v>0.11405610009874881</v>
      </c>
      <c r="D278" s="623">
        <f t="shared" si="31"/>
        <v>0.14612489837819762</v>
      </c>
      <c r="E278" s="650">
        <f t="shared" si="32"/>
        <v>3.2068798279448807E-2</v>
      </c>
    </row>
    <row r="279" spans="1:5" x14ac:dyDescent="0.2">
      <c r="A279" s="588">
        <v>4</v>
      </c>
      <c r="B279" s="587" t="s">
        <v>115</v>
      </c>
      <c r="C279" s="623">
        <f t="shared" si="31"/>
        <v>0.11405610009874881</v>
      </c>
      <c r="D279" s="623">
        <f t="shared" si="31"/>
        <v>0.14612489837819762</v>
      </c>
      <c r="E279" s="650">
        <f t="shared" si="32"/>
        <v>3.2068798279448807E-2</v>
      </c>
    </row>
    <row r="280" spans="1:5" x14ac:dyDescent="0.2">
      <c r="A280" s="588">
        <v>5</v>
      </c>
      <c r="B280" s="587" t="s">
        <v>747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0.22368799986588417</v>
      </c>
      <c r="D281" s="623">
        <f t="shared" si="31"/>
        <v>0.5101993857819056</v>
      </c>
      <c r="E281" s="650">
        <f t="shared" si="32"/>
        <v>0.28651138591602143</v>
      </c>
    </row>
    <row r="282" spans="1:5" x14ac:dyDescent="0.2">
      <c r="A282" s="588">
        <v>7</v>
      </c>
      <c r="B282" s="587" t="s">
        <v>762</v>
      </c>
      <c r="C282" s="623">
        <f t="shared" si="31"/>
        <v>0.34249175109741486</v>
      </c>
      <c r="D282" s="623">
        <f t="shared" si="31"/>
        <v>0.5662616165945269</v>
      </c>
      <c r="E282" s="650">
        <f t="shared" si="32"/>
        <v>0.22376986549711203</v>
      </c>
    </row>
    <row r="283" spans="1:5" ht="29.25" customHeight="1" x14ac:dyDescent="0.2">
      <c r="A283" s="588"/>
      <c r="B283" s="592" t="s">
        <v>848</v>
      </c>
      <c r="C283" s="651">
        <f t="shared" si="31"/>
        <v>0.24351711739787563</v>
      </c>
      <c r="D283" s="651">
        <f t="shared" si="31"/>
        <v>0.22503038725028063</v>
      </c>
      <c r="E283" s="652">
        <f t="shared" si="32"/>
        <v>-1.8486730147594999E-2</v>
      </c>
    </row>
    <row r="284" spans="1:5" x14ac:dyDescent="0.2">
      <c r="A284" s="588"/>
      <c r="B284" s="592" t="s">
        <v>849</v>
      </c>
      <c r="C284" s="651">
        <f t="shared" si="31"/>
        <v>0.31265035606281238</v>
      </c>
      <c r="D284" s="651">
        <f t="shared" si="31"/>
        <v>0.32032160349569594</v>
      </c>
      <c r="E284" s="652">
        <f t="shared" si="32"/>
        <v>7.6712474328835545E-3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850</v>
      </c>
      <c r="C286" s="596"/>
      <c r="D286" s="596"/>
      <c r="E286" s="596"/>
    </row>
    <row r="287" spans="1:5" x14ac:dyDescent="0.2">
      <c r="A287" s="588">
        <v>1</v>
      </c>
      <c r="B287" s="587" t="s">
        <v>660</v>
      </c>
      <c r="C287" s="623">
        <f t="shared" ref="C287:D295" si="33">IF(C25=0,0,+C58/C25)</f>
        <v>0.42765296628686461</v>
      </c>
      <c r="D287" s="623">
        <f t="shared" si="33"/>
        <v>0.44843604579221602</v>
      </c>
      <c r="E287" s="650">
        <f t="shared" ref="E287:E295" si="34">D287-C287</f>
        <v>2.0783079505351409E-2</v>
      </c>
    </row>
    <row r="288" spans="1:5" x14ac:dyDescent="0.2">
      <c r="A288" s="588">
        <v>2</v>
      </c>
      <c r="B288" s="587" t="s">
        <v>639</v>
      </c>
      <c r="C288" s="623">
        <f t="shared" si="33"/>
        <v>0.15883270763186633</v>
      </c>
      <c r="D288" s="623">
        <f t="shared" si="33"/>
        <v>0.16625899800575572</v>
      </c>
      <c r="E288" s="650">
        <f t="shared" si="34"/>
        <v>7.4262903738893937E-3</v>
      </c>
    </row>
    <row r="289" spans="1:5" x14ac:dyDescent="0.2">
      <c r="A289" s="588">
        <v>3</v>
      </c>
      <c r="B289" s="587" t="s">
        <v>781</v>
      </c>
      <c r="C289" s="623">
        <f t="shared" si="33"/>
        <v>0.15286291067866475</v>
      </c>
      <c r="D289" s="623">
        <f t="shared" si="33"/>
        <v>0.126994501400992</v>
      </c>
      <c r="E289" s="650">
        <f t="shared" si="34"/>
        <v>-2.5868409277672755E-2</v>
      </c>
    </row>
    <row r="290" spans="1:5" x14ac:dyDescent="0.2">
      <c r="A290" s="588">
        <v>4</v>
      </c>
      <c r="B290" s="587" t="s">
        <v>115</v>
      </c>
      <c r="C290" s="623">
        <f t="shared" si="33"/>
        <v>0.15286291067866475</v>
      </c>
      <c r="D290" s="623">
        <f t="shared" si="33"/>
        <v>0.126994501400992</v>
      </c>
      <c r="E290" s="650">
        <f t="shared" si="34"/>
        <v>-2.5868409277672755E-2</v>
      </c>
    </row>
    <row r="291" spans="1:5" x14ac:dyDescent="0.2">
      <c r="A291" s="588">
        <v>5</v>
      </c>
      <c r="B291" s="587" t="s">
        <v>747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7.6329553117453749E-2</v>
      </c>
      <c r="D292" s="623">
        <f t="shared" si="33"/>
        <v>0.2860446555761928</v>
      </c>
      <c r="E292" s="650">
        <f t="shared" si="34"/>
        <v>0.20971510245873903</v>
      </c>
    </row>
    <row r="293" spans="1:5" x14ac:dyDescent="0.2">
      <c r="A293" s="588">
        <v>7</v>
      </c>
      <c r="B293" s="587" t="s">
        <v>762</v>
      </c>
      <c r="C293" s="623">
        <f t="shared" si="33"/>
        <v>0.1315275588270714</v>
      </c>
      <c r="D293" s="623">
        <f t="shared" si="33"/>
        <v>0.43039402851671116</v>
      </c>
      <c r="E293" s="650">
        <f t="shared" si="34"/>
        <v>0.29886646968963976</v>
      </c>
    </row>
    <row r="294" spans="1:5" ht="29.25" customHeight="1" x14ac:dyDescent="0.2">
      <c r="A294" s="588"/>
      <c r="B294" s="592" t="s">
        <v>851</v>
      </c>
      <c r="C294" s="651">
        <f t="shared" si="33"/>
        <v>0.15616895773037331</v>
      </c>
      <c r="D294" s="651">
        <f t="shared" si="33"/>
        <v>0.15442987615633014</v>
      </c>
      <c r="E294" s="652">
        <f t="shared" si="34"/>
        <v>-1.7390815740431775E-3</v>
      </c>
    </row>
    <row r="295" spans="1:5" x14ac:dyDescent="0.2">
      <c r="A295" s="588"/>
      <c r="B295" s="592" t="s">
        <v>852</v>
      </c>
      <c r="C295" s="651">
        <f t="shared" si="33"/>
        <v>0.27070871110516109</v>
      </c>
      <c r="D295" s="651">
        <f t="shared" si="33"/>
        <v>0.27681495576433357</v>
      </c>
      <c r="E295" s="652">
        <f t="shared" si="34"/>
        <v>6.1062446591724773E-3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853</v>
      </c>
      <c r="B297" s="579" t="s">
        <v>854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855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658</v>
      </c>
      <c r="C301" s="590">
        <f>+C48+C47+C50+C51+C52+C59+C58+C61+C62+C63</f>
        <v>2555636808</v>
      </c>
      <c r="D301" s="590">
        <f>+D48+D47+D50+D51+D52+D59+D58+D61+D62+D63</f>
        <v>2664541057</v>
      </c>
      <c r="E301" s="590">
        <f>D301-C301</f>
        <v>108904249</v>
      </c>
    </row>
    <row r="302" spans="1:5" ht="25.5" x14ac:dyDescent="0.2">
      <c r="A302" s="588">
        <v>2</v>
      </c>
      <c r="B302" s="587" t="s">
        <v>856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857</v>
      </c>
      <c r="C303" s="593">
        <f>+C301+C302</f>
        <v>2555636808</v>
      </c>
      <c r="D303" s="593">
        <f>+D301+D302</f>
        <v>2664541057</v>
      </c>
      <c r="E303" s="593">
        <f>D303-C303</f>
        <v>108904249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858</v>
      </c>
      <c r="C305" s="589">
        <v>-97646807</v>
      </c>
      <c r="D305" s="654">
        <v>-147227475</v>
      </c>
      <c r="E305" s="655">
        <f>D305-C305</f>
        <v>-49580668</v>
      </c>
    </row>
    <row r="306" spans="1:5" x14ac:dyDescent="0.2">
      <c r="A306" s="588">
        <v>4</v>
      </c>
      <c r="B306" s="592" t="s">
        <v>859</v>
      </c>
      <c r="C306" s="593">
        <f>+C303+C305+C194+C190-C191</f>
        <v>2592509001</v>
      </c>
      <c r="D306" s="593">
        <f>+D303+D305</f>
        <v>2517313582</v>
      </c>
      <c r="E306" s="656">
        <f>D306-C306</f>
        <v>-75195419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860</v>
      </c>
      <c r="C308" s="589">
        <v>2457990000</v>
      </c>
      <c r="D308" s="589">
        <v>2517314000</v>
      </c>
      <c r="E308" s="590">
        <f>D308-C308</f>
        <v>59324000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861</v>
      </c>
      <c r="C310" s="657">
        <f>C306-C308</f>
        <v>134519001</v>
      </c>
      <c r="D310" s="658">
        <f>D306-D308</f>
        <v>-418</v>
      </c>
      <c r="E310" s="656">
        <f>D310-C310</f>
        <v>-134519419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862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863</v>
      </c>
      <c r="C314" s="590">
        <f>+C14+C15+C16+C19+C25+C26+C27+C30</f>
        <v>8723514793</v>
      </c>
      <c r="D314" s="590">
        <f>+D14+D15+D16+D19+D25+D26+D27+D30</f>
        <v>8895439581</v>
      </c>
      <c r="E314" s="590">
        <f>D314-C314</f>
        <v>171924788</v>
      </c>
    </row>
    <row r="315" spans="1:5" x14ac:dyDescent="0.2">
      <c r="A315" s="588">
        <v>2</v>
      </c>
      <c r="B315" s="659" t="s">
        <v>864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865</v>
      </c>
      <c r="C316" s="657">
        <f>C314+C315</f>
        <v>8723514793</v>
      </c>
      <c r="D316" s="657">
        <f>D314+D315</f>
        <v>8895439581</v>
      </c>
      <c r="E316" s="593">
        <f>D316-C316</f>
        <v>171924788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866</v>
      </c>
      <c r="C318" s="589">
        <v>8723514793</v>
      </c>
      <c r="D318" s="589">
        <v>8895439581</v>
      </c>
      <c r="E318" s="590">
        <f>D318-C318</f>
        <v>171924788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861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867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868</v>
      </c>
      <c r="C324" s="589">
        <f>+C193+C194</f>
        <v>175665000</v>
      </c>
      <c r="D324" s="589">
        <f>+D193+D194</f>
        <v>194251000</v>
      </c>
      <c r="E324" s="590">
        <f>D324-C324</f>
        <v>18586000</v>
      </c>
    </row>
    <row r="325" spans="1:5" x14ac:dyDescent="0.2">
      <c r="A325" s="588">
        <v>2</v>
      </c>
      <c r="B325" s="587" t="s">
        <v>869</v>
      </c>
      <c r="C325" s="589">
        <v>596000</v>
      </c>
      <c r="D325" s="589">
        <v>600000</v>
      </c>
      <c r="E325" s="590">
        <f>D325-C325</f>
        <v>4000</v>
      </c>
    </row>
    <row r="326" spans="1:5" x14ac:dyDescent="0.2">
      <c r="A326" s="588"/>
      <c r="B326" s="592" t="s">
        <v>870</v>
      </c>
      <c r="C326" s="657">
        <f>C324+C325</f>
        <v>176261000</v>
      </c>
      <c r="D326" s="657">
        <f>D324+D325</f>
        <v>194851000</v>
      </c>
      <c r="E326" s="593">
        <f>D326-C326</f>
        <v>18590000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871</v>
      </c>
      <c r="C328" s="589">
        <v>176261000</v>
      </c>
      <c r="D328" s="589">
        <v>194851000</v>
      </c>
      <c r="E328" s="590">
        <f>D328-C328</f>
        <v>18590000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872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70" fitToHeight="0" orientation="portrait" horizontalDpi="1200" verticalDpi="1200" r:id="rId1"/>
  <headerFooter>
    <oddHeader>_x000D_
                &amp;LOFFICE OF HEALTH CARE ACCESS&amp;CTWELVE MONTHS ACTUAL FILING&amp;RYALE-NEW HAVEN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633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873</v>
      </c>
      <c r="B5" s="824"/>
      <c r="C5" s="825"/>
      <c r="D5" s="661"/>
    </row>
    <row r="6" spans="1:58" s="662" customFormat="1" ht="15.75" customHeight="1" x14ac:dyDescent="0.25">
      <c r="A6" s="823" t="s">
        <v>874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875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876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780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660</v>
      </c>
      <c r="C14" s="589">
        <v>1494723315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639</v>
      </c>
      <c r="C15" s="591">
        <v>1988875521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781</v>
      </c>
      <c r="C16" s="591">
        <v>1122842218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1122842218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747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39983192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762</v>
      </c>
      <c r="C20" s="591">
        <v>95188396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782</v>
      </c>
      <c r="C21" s="593">
        <f>SUM(C15+C16+C19)</f>
        <v>3151700931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4646424246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783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660</v>
      </c>
      <c r="C25" s="589">
        <v>1768725060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639</v>
      </c>
      <c r="C26" s="591">
        <v>1656820595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781</v>
      </c>
      <c r="C27" s="591">
        <v>804648783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804648783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747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18820897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762</v>
      </c>
      <c r="C31" s="594">
        <v>114562089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784</v>
      </c>
      <c r="C32" s="593">
        <f>SUM(C26+C27+C30)</f>
        <v>2480290275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4249015335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657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877</v>
      </c>
      <c r="C36" s="590">
        <f>SUM(C14+C25)</f>
        <v>3263448375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878</v>
      </c>
      <c r="C37" s="594">
        <f>SUM(C21+C32)</f>
        <v>5631991206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657</v>
      </c>
      <c r="C38" s="593">
        <f>SUM(+C36+C37)</f>
        <v>8895439581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793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660</v>
      </c>
      <c r="C41" s="589">
        <v>779121584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639</v>
      </c>
      <c r="C42" s="591">
        <v>524753876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781</v>
      </c>
      <c r="C43" s="591">
        <v>164075205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164075205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747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20399400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762</v>
      </c>
      <c r="C47" s="591">
        <v>53901535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794</v>
      </c>
      <c r="C48" s="593">
        <f>SUM(C42+C43+C46)</f>
        <v>709228481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1488350065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795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660</v>
      </c>
      <c r="C52" s="589">
        <v>793160072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639</v>
      </c>
      <c r="C53" s="591">
        <v>275461332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781</v>
      </c>
      <c r="C54" s="591">
        <v>102185971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102185971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747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5383617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762</v>
      </c>
      <c r="C58" s="591">
        <v>49306839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796</v>
      </c>
      <c r="C59" s="593">
        <f>SUM(C53+C54+C57)</f>
        <v>383030920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1176190992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658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879</v>
      </c>
      <c r="C63" s="590">
        <f>SUM(C41+C52)</f>
        <v>1572281656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880</v>
      </c>
      <c r="C64" s="594">
        <f>SUM(C48+C59)</f>
        <v>1092259401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658</v>
      </c>
      <c r="C65" s="593">
        <f>SUM(+C63+C64)</f>
        <v>2664541057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881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882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660</v>
      </c>
      <c r="C70" s="606">
        <v>27552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639</v>
      </c>
      <c r="C71" s="606">
        <v>28648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781</v>
      </c>
      <c r="C72" s="606">
        <v>22682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22682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747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608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762</v>
      </c>
      <c r="C76" s="621">
        <v>1457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811</v>
      </c>
      <c r="C77" s="608">
        <f>SUM(C71+C72+C75)</f>
        <v>51938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79490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815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660</v>
      </c>
      <c r="C81" s="617">
        <v>1.5076000000000001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639</v>
      </c>
      <c r="C82" s="617">
        <v>1.8504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781</v>
      </c>
      <c r="C83" s="617">
        <f>((C73*C84)+(C74*C85))/(C73+C74)</f>
        <v>1.3186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1.3186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747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1.2335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762</v>
      </c>
      <c r="C87" s="617">
        <v>1.4764999999999999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816</v>
      </c>
      <c r="C88" s="619">
        <f>((C71*C82)+(C73*C84)+(C74*C85)+(C75*C86))/(C71+C73+C74+C75)</f>
        <v>1.6109344295121104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727</v>
      </c>
      <c r="C89" s="619">
        <f>((C70*C81)+(C71*C82)+(C73*C84)+(C74*C85)+(C75*C86))/(C70+C71+C73+C74+C75)</f>
        <v>1.5751177204679832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817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818</v>
      </c>
      <c r="C92" s="589">
        <v>3053697890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819</v>
      </c>
      <c r="C93" s="622">
        <v>1406447225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672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751</v>
      </c>
      <c r="C95" s="589">
        <f>+C92-C93</f>
        <v>1647250665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674</v>
      </c>
      <c r="C96" s="681">
        <f>(+C92-C93)/C92</f>
        <v>0.53942817015209055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766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752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883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821</v>
      </c>
      <c r="C103" s="589">
        <v>45213000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822</v>
      </c>
      <c r="C104" s="589">
        <v>149038000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823</v>
      </c>
      <c r="C105" s="654">
        <f>+C103+C104</f>
        <v>194251000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824</v>
      </c>
      <c r="C107" s="589">
        <v>4142430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714</v>
      </c>
      <c r="C108" s="589">
        <v>2580344000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854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855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658</v>
      </c>
      <c r="C114" s="590">
        <f>+C65</f>
        <v>2664541057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856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857</v>
      </c>
      <c r="C116" s="593">
        <f>+C114+C115</f>
        <v>2664541057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858</v>
      </c>
      <c r="C118" s="654">
        <v>-147227475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859</v>
      </c>
      <c r="C119" s="656">
        <f>+C116+C118</f>
        <v>2517313582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860</v>
      </c>
      <c r="C121" s="589">
        <v>2517314000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861</v>
      </c>
      <c r="C123" s="658">
        <f>C119-C121</f>
        <v>-418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862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863</v>
      </c>
      <c r="C127" s="590">
        <f>C38</f>
        <v>8895439581</v>
      </c>
      <c r="D127" s="664"/>
      <c r="AR127" s="485"/>
    </row>
    <row r="128" spans="1:58" s="421" customFormat="1" ht="12.75" x14ac:dyDescent="0.2">
      <c r="A128" s="588">
        <v>2</v>
      </c>
      <c r="B128" s="659" t="s">
        <v>864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865</v>
      </c>
      <c r="C129" s="657">
        <f>C127+C128</f>
        <v>8895439581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866</v>
      </c>
      <c r="C131" s="589">
        <v>8895439581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861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867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868</v>
      </c>
      <c r="C137" s="589">
        <f>C105</f>
        <v>194251000</v>
      </c>
      <c r="D137" s="664"/>
      <c r="AR137" s="485"/>
    </row>
    <row r="138" spans="1:44" s="421" customFormat="1" ht="12.75" x14ac:dyDescent="0.2">
      <c r="A138" s="588">
        <v>2</v>
      </c>
      <c r="B138" s="669" t="s">
        <v>884</v>
      </c>
      <c r="C138" s="589">
        <v>600000</v>
      </c>
      <c r="D138" s="664"/>
      <c r="AR138" s="485"/>
    </row>
    <row r="139" spans="1:44" s="421" customFormat="1" ht="12.75" x14ac:dyDescent="0.2">
      <c r="A139" s="588"/>
      <c r="B139" s="671" t="s">
        <v>870</v>
      </c>
      <c r="C139" s="657">
        <f>C137+C138</f>
        <v>194851000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885</v>
      </c>
      <c r="C141" s="589">
        <v>194851000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872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FILING&amp;RYALE-NEW HAVEN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633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886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636</v>
      </c>
      <c r="D8" s="177" t="s">
        <v>636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887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888</v>
      </c>
      <c r="C12" s="185">
        <v>11105</v>
      </c>
      <c r="D12" s="185">
        <v>10009</v>
      </c>
      <c r="E12" s="185">
        <f>+D12-C12</f>
        <v>-1096</v>
      </c>
      <c r="F12" s="77">
        <f>IF(C12=0,0,+E12/C12)</f>
        <v>-9.8694281855020258E-2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889</v>
      </c>
      <c r="C13" s="185">
        <v>8613</v>
      </c>
      <c r="D13" s="185">
        <v>9309</v>
      </c>
      <c r="E13" s="185">
        <f>+D13-C13</f>
        <v>696</v>
      </c>
      <c r="F13" s="77">
        <f>IF(C13=0,0,+E13/C13)</f>
        <v>8.0808080808080815E-2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890</v>
      </c>
      <c r="C15" s="76">
        <v>41146000</v>
      </c>
      <c r="D15" s="76">
        <v>45213000</v>
      </c>
      <c r="E15" s="76">
        <f>+D15-C15</f>
        <v>4067000</v>
      </c>
      <c r="F15" s="77">
        <f>IF(C15=0,0,+E15/C15)</f>
        <v>9.8843143926505617E-2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891</v>
      </c>
      <c r="C16" s="79">
        <f>IF(C13=0,0,+C15/+C13)</f>
        <v>4777.1972599558803</v>
      </c>
      <c r="D16" s="79">
        <f>IF(D13=0,0,+D15/+D13)</f>
        <v>4856.9126651627457</v>
      </c>
      <c r="E16" s="79">
        <f>+D16-C16</f>
        <v>79.715405206865398</v>
      </c>
      <c r="F16" s="80">
        <f>IF(C16=0,0,+E16/C16)</f>
        <v>1.6686647184337038E-2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892</v>
      </c>
      <c r="C18" s="704">
        <v>0.27030100000000001</v>
      </c>
      <c r="D18" s="704">
        <v>0.27654800000000002</v>
      </c>
      <c r="E18" s="704">
        <f>+D18-C18</f>
        <v>6.2470000000000026E-3</v>
      </c>
      <c r="F18" s="77">
        <f>IF(C18=0,0,+E18/C18)</f>
        <v>2.3111272248345371E-2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893</v>
      </c>
      <c r="C19" s="79">
        <f>+C15*C18</f>
        <v>11121804.946</v>
      </c>
      <c r="D19" s="79">
        <f>+D15*D18</f>
        <v>12503564.724000001</v>
      </c>
      <c r="E19" s="79">
        <f>+D19-C19</f>
        <v>1381759.7780000009</v>
      </c>
      <c r="F19" s="80">
        <f>IF(C19=0,0,+E19/C19)</f>
        <v>0.1242388069840189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894</v>
      </c>
      <c r="C20" s="79">
        <f>IF(C13=0,0,+C19/C13)</f>
        <v>1291.2811965633346</v>
      </c>
      <c r="D20" s="79">
        <f>IF(D13=0,0,+D19/D13)</f>
        <v>1343.1694837254272</v>
      </c>
      <c r="E20" s="79">
        <f>+D20-C20</f>
        <v>51.888287162092638</v>
      </c>
      <c r="F20" s="80">
        <f>IF(C20=0,0,+E20/C20)</f>
        <v>4.0183569078671724E-2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895</v>
      </c>
      <c r="C22" s="76">
        <v>15365288</v>
      </c>
      <c r="D22" s="76">
        <v>18972541</v>
      </c>
      <c r="E22" s="76">
        <f>+D22-C22</f>
        <v>3607253</v>
      </c>
      <c r="F22" s="77">
        <f>IF(C22=0,0,+E22/C22)</f>
        <v>0.23476637730448008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896</v>
      </c>
      <c r="C23" s="185">
        <v>21146797</v>
      </c>
      <c r="D23" s="185">
        <v>21578439</v>
      </c>
      <c r="E23" s="185">
        <f>+D23-C23</f>
        <v>431642</v>
      </c>
      <c r="F23" s="77">
        <f>IF(C23=0,0,+E23/C23)</f>
        <v>2.0411696390711085E-2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897</v>
      </c>
      <c r="C24" s="185">
        <v>4633915</v>
      </c>
      <c r="D24" s="185">
        <v>4662020</v>
      </c>
      <c r="E24" s="185">
        <f>+D24-C24</f>
        <v>28105</v>
      </c>
      <c r="F24" s="77">
        <f>IF(C24=0,0,+E24/C24)</f>
        <v>6.0650659323703603E-3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898</v>
      </c>
      <c r="C25" s="79">
        <f>+C22+C23+C24</f>
        <v>41146000</v>
      </c>
      <c r="D25" s="79">
        <f>+D22+D23+D24</f>
        <v>45213000</v>
      </c>
      <c r="E25" s="79">
        <f>+E22+E23+E24</f>
        <v>4067000</v>
      </c>
      <c r="F25" s="80">
        <f>IF(C25=0,0,+E25/C25)</f>
        <v>9.8843143926505617E-2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899</v>
      </c>
      <c r="C27" s="185">
        <v>6144</v>
      </c>
      <c r="D27" s="185">
        <v>5376</v>
      </c>
      <c r="E27" s="185">
        <f>+D27-C27</f>
        <v>-768</v>
      </c>
      <c r="F27" s="77">
        <f>IF(C27=0,0,+E27/C27)</f>
        <v>-0.125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900</v>
      </c>
      <c r="C28" s="185">
        <v>905</v>
      </c>
      <c r="D28" s="185">
        <v>782</v>
      </c>
      <c r="E28" s="185">
        <f>+D28-C28</f>
        <v>-123</v>
      </c>
      <c r="F28" s="77">
        <f>IF(C28=0,0,+E28/C28)</f>
        <v>-0.13591160220994475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901</v>
      </c>
      <c r="C29" s="185">
        <v>2749</v>
      </c>
      <c r="D29" s="185">
        <v>2390</v>
      </c>
      <c r="E29" s="185">
        <f>+D29-C29</f>
        <v>-359</v>
      </c>
      <c r="F29" s="77">
        <f>IF(C29=0,0,+E29/C29)</f>
        <v>-0.13059294288832302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902</v>
      </c>
      <c r="C30" s="185">
        <v>13992</v>
      </c>
      <c r="D30" s="185">
        <v>13042</v>
      </c>
      <c r="E30" s="185">
        <f>+D30-C30</f>
        <v>-950</v>
      </c>
      <c r="F30" s="77">
        <f>IF(C30=0,0,+E30/C30)</f>
        <v>-6.7895940537449975E-2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903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904</v>
      </c>
      <c r="C33" s="76">
        <v>62234432</v>
      </c>
      <c r="D33" s="76">
        <v>80983553</v>
      </c>
      <c r="E33" s="76">
        <f>+D33-C33</f>
        <v>18749121</v>
      </c>
      <c r="F33" s="77">
        <f>IF(C33=0,0,+E33/C33)</f>
        <v>0.30126604192354484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905</v>
      </c>
      <c r="C34" s="185">
        <v>34740999</v>
      </c>
      <c r="D34" s="185">
        <v>32707942</v>
      </c>
      <c r="E34" s="185">
        <f>+D34-C34</f>
        <v>-2033057</v>
      </c>
      <c r="F34" s="77">
        <f>IF(C34=0,0,+E34/C34)</f>
        <v>-5.8520395455525044E-2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906</v>
      </c>
      <c r="C35" s="185">
        <v>37543569</v>
      </c>
      <c r="D35" s="185">
        <v>35346505</v>
      </c>
      <c r="E35" s="185">
        <f>+D35-C35</f>
        <v>-2197064</v>
      </c>
      <c r="F35" s="77">
        <f>IF(C35=0,0,+E35/C35)</f>
        <v>-5.8520382012695701E-2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907</v>
      </c>
      <c r="C36" s="79">
        <f>+C33+C34+C35</f>
        <v>134519000</v>
      </c>
      <c r="D36" s="79">
        <f>+D33+D34+D35</f>
        <v>149038000</v>
      </c>
      <c r="E36" s="79">
        <f>+E33+E34+E35</f>
        <v>14519000</v>
      </c>
      <c r="F36" s="80">
        <f>IF(C36=0,0,+E36/C36)</f>
        <v>0.10793270839063626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908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909</v>
      </c>
      <c r="C39" s="76">
        <f>+C25</f>
        <v>41146000</v>
      </c>
      <c r="D39" s="76">
        <f>+D25</f>
        <v>45213000</v>
      </c>
      <c r="E39" s="76">
        <f>+D39-C39</f>
        <v>4067000</v>
      </c>
      <c r="F39" s="77">
        <f>IF(C39=0,0,+E39/C39)</f>
        <v>9.8843143926505617E-2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910</v>
      </c>
      <c r="C40" s="185">
        <f>+C36</f>
        <v>134519000</v>
      </c>
      <c r="D40" s="185">
        <f>+D36</f>
        <v>149038000</v>
      </c>
      <c r="E40" s="185">
        <f>+D40-C40</f>
        <v>14519000</v>
      </c>
      <c r="F40" s="77">
        <f>IF(C40=0,0,+E40/C40)</f>
        <v>0.10793270839063626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911</v>
      </c>
      <c r="C41" s="79">
        <f>+C39+C40</f>
        <v>175665000</v>
      </c>
      <c r="D41" s="79">
        <f>+D39+D40</f>
        <v>194251000</v>
      </c>
      <c r="E41" s="79">
        <f>+E39+E40</f>
        <v>18586000</v>
      </c>
      <c r="F41" s="80">
        <f>IF(C41=0,0,+E41/C41)</f>
        <v>0.1058036603762844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912</v>
      </c>
      <c r="C43" s="76">
        <f t="shared" ref="C43:D45" si="0">+C22+C33</f>
        <v>77599720</v>
      </c>
      <c r="D43" s="76">
        <f t="shared" si="0"/>
        <v>99956094</v>
      </c>
      <c r="E43" s="76">
        <f>+D43-C43</f>
        <v>22356374</v>
      </c>
      <c r="F43" s="77">
        <f>IF(C43=0,0,+E43/C43)</f>
        <v>0.28809864262396823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913</v>
      </c>
      <c r="C44" s="185">
        <f t="shared" si="0"/>
        <v>55887796</v>
      </c>
      <c r="D44" s="185">
        <f t="shared" si="0"/>
        <v>54286381</v>
      </c>
      <c r="E44" s="185">
        <f>+D44-C44</f>
        <v>-1601415</v>
      </c>
      <c r="F44" s="77">
        <f>IF(C44=0,0,+E44/C44)</f>
        <v>-2.8654109029456091E-2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914</v>
      </c>
      <c r="C45" s="185">
        <f t="shared" si="0"/>
        <v>42177484</v>
      </c>
      <c r="D45" s="185">
        <f t="shared" si="0"/>
        <v>40008525</v>
      </c>
      <c r="E45" s="185">
        <f>+D45-C45</f>
        <v>-2168959</v>
      </c>
      <c r="F45" s="77">
        <f>IF(C45=0,0,+E45/C45)</f>
        <v>-5.1424570512551199E-2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911</v>
      </c>
      <c r="C46" s="79">
        <f>+C43+C44+C45</f>
        <v>175665000</v>
      </c>
      <c r="D46" s="79">
        <f>+D43+D44+D45</f>
        <v>194251000</v>
      </c>
      <c r="E46" s="79">
        <f>+E43+E44+E45</f>
        <v>18586000</v>
      </c>
      <c r="F46" s="80">
        <f>IF(C46=0,0,+E46/C46)</f>
        <v>0.1058036603762844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915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4" orientation="portrait" horizontalDpi="1200" verticalDpi="1200" r:id="rId1"/>
  <headerFooter>
    <oddHeader>_x000D_
                  &amp;LOFFICE OF HEALTH CARE ACCESS&amp;CTWELVE MONTHS ACTUAL FILING&amp;RYALE-NEW HAVEN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633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916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917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918</v>
      </c>
      <c r="D10" s="177" t="s">
        <v>918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919</v>
      </c>
      <c r="D11" s="693" t="s">
        <v>919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920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3045751782</v>
      </c>
      <c r="D15" s="76">
        <v>3053697890</v>
      </c>
      <c r="E15" s="76">
        <f>+D15-C15</f>
        <v>7946108</v>
      </c>
      <c r="F15" s="77">
        <f>IF(C15=0,0,E15/C15)</f>
        <v>2.6089151607693291E-3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921</v>
      </c>
      <c r="C17" s="76">
        <v>1703519526</v>
      </c>
      <c r="D17" s="76">
        <v>1647250665</v>
      </c>
      <c r="E17" s="76">
        <f>+D17-C17</f>
        <v>-56268861</v>
      </c>
      <c r="F17" s="77">
        <f>IF(C17=0,0,E17/C17)</f>
        <v>-3.3030945722191854E-2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922</v>
      </c>
      <c r="C19" s="79">
        <f>+C15-C17</f>
        <v>1342232256</v>
      </c>
      <c r="D19" s="79">
        <f>+D15-D17</f>
        <v>1406447225</v>
      </c>
      <c r="E19" s="79">
        <f>+D19-C19</f>
        <v>64214969</v>
      </c>
      <c r="F19" s="80">
        <f>IF(C19=0,0,E19/C19)</f>
        <v>4.7841920586357896E-2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923</v>
      </c>
      <c r="C21" s="720">
        <f>IF(C15=0,0,C17/C15)</f>
        <v>0.55931003178511807</v>
      </c>
      <c r="D21" s="720">
        <f>IF(D15=0,0,D17/D15)</f>
        <v>0.53942817015209055</v>
      </c>
      <c r="E21" s="720">
        <f>+D21-C21</f>
        <v>-1.988186163302752E-2</v>
      </c>
      <c r="F21" s="80">
        <f>IF(C21=0,0,E21/C21)</f>
        <v>-3.5547121458865509E-2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924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90" orientation="landscape" horizontalDpi="1200" verticalDpi="1200" r:id="rId1"/>
  <headerFooter>
    <oddHeader>&amp;L&amp;12OFFICE OF HEALTH CARE ACCESS&amp;C&amp;12TWELVE MONTHS ACTUAL FILING&amp;R&amp;12YALE-NEW HAVEN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925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926</v>
      </c>
      <c r="B6" s="734" t="s">
        <v>927</v>
      </c>
      <c r="C6" s="734" t="s">
        <v>928</v>
      </c>
      <c r="D6" s="734" t="s">
        <v>929</v>
      </c>
      <c r="E6" s="734" t="s">
        <v>930</v>
      </c>
    </row>
    <row r="7" spans="1:6" ht="37.5" customHeight="1" x14ac:dyDescent="0.25">
      <c r="A7" s="735" t="s">
        <v>8</v>
      </c>
      <c r="B7" s="736" t="s">
        <v>9</v>
      </c>
      <c r="C7" s="737" t="s">
        <v>931</v>
      </c>
      <c r="D7" s="737" t="s">
        <v>932</v>
      </c>
      <c r="E7" s="737" t="s">
        <v>933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934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935</v>
      </c>
      <c r="C10" s="744">
        <v>4554559396</v>
      </c>
      <c r="D10" s="744">
        <v>4627986391</v>
      </c>
      <c r="E10" s="744">
        <v>4646424246</v>
      </c>
    </row>
    <row r="11" spans="1:6" ht="26.1" customHeight="1" x14ac:dyDescent="0.25">
      <c r="A11" s="742">
        <v>2</v>
      </c>
      <c r="B11" s="743" t="s">
        <v>936</v>
      </c>
      <c r="C11" s="744">
        <v>3830419171</v>
      </c>
      <c r="D11" s="744">
        <v>4095528402</v>
      </c>
      <c r="E11" s="744">
        <v>4249015335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8384978567</v>
      </c>
      <c r="D12" s="744">
        <f>+D11+D10</f>
        <v>8723514793</v>
      </c>
      <c r="E12" s="744">
        <f>+E11+E10</f>
        <v>8895439581</v>
      </c>
    </row>
    <row r="13" spans="1:6" ht="26.1" customHeight="1" x14ac:dyDescent="0.25">
      <c r="A13" s="742">
        <v>4</v>
      </c>
      <c r="B13" s="743" t="s">
        <v>507</v>
      </c>
      <c r="C13" s="744">
        <v>2338353000</v>
      </c>
      <c r="D13" s="744">
        <v>2457989000</v>
      </c>
      <c r="E13" s="744">
        <v>2517314000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937</v>
      </c>
      <c r="C16" s="744">
        <v>2267358000</v>
      </c>
      <c r="D16" s="744">
        <v>2413364000</v>
      </c>
      <c r="E16" s="744">
        <v>2580344000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938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426515</v>
      </c>
      <c r="D19" s="747">
        <v>428640</v>
      </c>
      <c r="E19" s="747">
        <v>437574</v>
      </c>
    </row>
    <row r="20" spans="1:5" ht="26.1" customHeight="1" x14ac:dyDescent="0.25">
      <c r="A20" s="742">
        <v>2</v>
      </c>
      <c r="B20" s="743" t="s">
        <v>381</v>
      </c>
      <c r="C20" s="748">
        <v>78529</v>
      </c>
      <c r="D20" s="748">
        <v>78452</v>
      </c>
      <c r="E20" s="748">
        <v>79490</v>
      </c>
    </row>
    <row r="21" spans="1:5" ht="26.1" customHeight="1" x14ac:dyDescent="0.25">
      <c r="A21" s="742">
        <v>3</v>
      </c>
      <c r="B21" s="743" t="s">
        <v>939</v>
      </c>
      <c r="C21" s="749">
        <f>IF(C20=0,0,+C19/C20)</f>
        <v>5.4313056323141771</v>
      </c>
      <c r="D21" s="749">
        <f>IF(D20=0,0,+D19/D20)</f>
        <v>5.4637230408402591</v>
      </c>
      <c r="E21" s="749">
        <f>IF(E20=0,0,+E19/E20)</f>
        <v>5.5047678953327459</v>
      </c>
    </row>
    <row r="22" spans="1:5" ht="26.1" customHeight="1" x14ac:dyDescent="0.25">
      <c r="A22" s="742">
        <v>4</v>
      </c>
      <c r="B22" s="743" t="s">
        <v>940</v>
      </c>
      <c r="C22" s="748">
        <f>IF(C10=0,0,C19*(C12/C10))</f>
        <v>785217.36628242768</v>
      </c>
      <c r="D22" s="748">
        <f>IF(D10=0,0,D19*(D12/D10))</f>
        <v>807964.21271747863</v>
      </c>
      <c r="E22" s="748">
        <f>IF(E10=0,0,E19*(E12/E10))</f>
        <v>837722.27268471732</v>
      </c>
    </row>
    <row r="23" spans="1:5" ht="26.1" customHeight="1" x14ac:dyDescent="0.25">
      <c r="A23" s="742">
        <v>0</v>
      </c>
      <c r="B23" s="743" t="s">
        <v>941</v>
      </c>
      <c r="C23" s="748">
        <f>IF(C10=0,0,C20*(C12/C10))</f>
        <v>144572.48761894135</v>
      </c>
      <c r="D23" s="748">
        <f>IF(D10=0,0,D20*(D12/D10))</f>
        <v>147877.95916412756</v>
      </c>
      <c r="E23" s="748">
        <f>IF(E10=0,0,E20*(E12/E10))</f>
        <v>152181.21610449473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942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1.5057475015599333</v>
      </c>
      <c r="D26" s="750">
        <v>1.5341833222862387</v>
      </c>
      <c r="E26" s="750">
        <v>1.5751177204679832</v>
      </c>
    </row>
    <row r="27" spans="1:5" ht="26.1" customHeight="1" x14ac:dyDescent="0.25">
      <c r="A27" s="742">
        <v>2</v>
      </c>
      <c r="B27" s="743" t="s">
        <v>943</v>
      </c>
      <c r="C27" s="748">
        <f>C19*C26</f>
        <v>642223.89562783495</v>
      </c>
      <c r="D27" s="748">
        <f>D19*D26</f>
        <v>657612.3392647733</v>
      </c>
      <c r="E27" s="748">
        <f>E19*E26</f>
        <v>689230.56141605729</v>
      </c>
    </row>
    <row r="28" spans="1:5" ht="26.1" customHeight="1" x14ac:dyDescent="0.25">
      <c r="A28" s="742">
        <v>3</v>
      </c>
      <c r="B28" s="743" t="s">
        <v>944</v>
      </c>
      <c r="C28" s="748">
        <f>C20*C26</f>
        <v>118244.84555</v>
      </c>
      <c r="D28" s="748">
        <f>D20*D26</f>
        <v>120359.75</v>
      </c>
      <c r="E28" s="748">
        <f>E20*E26</f>
        <v>125206.10759999997</v>
      </c>
    </row>
    <row r="29" spans="1:5" ht="26.1" customHeight="1" x14ac:dyDescent="0.25">
      <c r="A29" s="742">
        <v>4</v>
      </c>
      <c r="B29" s="743" t="s">
        <v>945</v>
      </c>
      <c r="C29" s="748">
        <f>C22*C26</f>
        <v>1182339.0874612364</v>
      </c>
      <c r="D29" s="748">
        <f>D22*D26</f>
        <v>1239565.2201552866</v>
      </c>
      <c r="E29" s="748">
        <f>E22*E26</f>
        <v>1319511.1965364101</v>
      </c>
    </row>
    <row r="30" spans="1:5" ht="26.1" customHeight="1" x14ac:dyDescent="0.25">
      <c r="A30" s="742">
        <v>5</v>
      </c>
      <c r="B30" s="743" t="s">
        <v>946</v>
      </c>
      <c r="C30" s="748">
        <f>C23*C26</f>
        <v>217689.66202652533</v>
      </c>
      <c r="D30" s="748">
        <f>D23*D26</f>
        <v>226871.89868332996</v>
      </c>
      <c r="E30" s="748">
        <f>E23*E26</f>
        <v>239703.33020855725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947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948</v>
      </c>
      <c r="C33" s="744">
        <f>IF(C19=0,0,C12/C19)</f>
        <v>19659.281776725322</v>
      </c>
      <c r="D33" s="744">
        <f>IF(D19=0,0,D12/D19)</f>
        <v>20351.611592478537</v>
      </c>
      <c r="E33" s="744">
        <f>IF(E19=0,0,E12/E19)</f>
        <v>20328.994823732672</v>
      </c>
    </row>
    <row r="34" spans="1:5" ht="26.1" customHeight="1" x14ac:dyDescent="0.25">
      <c r="A34" s="742">
        <v>2</v>
      </c>
      <c r="B34" s="743" t="s">
        <v>949</v>
      </c>
      <c r="C34" s="744">
        <f>IF(C20=0,0,C12/C20)</f>
        <v>106775.5678411797</v>
      </c>
      <c r="D34" s="744">
        <f>IF(D20=0,0,D12/D20)</f>
        <v>111195.5691760567</v>
      </c>
      <c r="E34" s="744">
        <f>IF(E20=0,0,E12/E20)</f>
        <v>111906.3980500692</v>
      </c>
    </row>
    <row r="35" spans="1:5" ht="26.1" customHeight="1" x14ac:dyDescent="0.25">
      <c r="A35" s="742">
        <v>3</v>
      </c>
      <c r="B35" s="743" t="s">
        <v>950</v>
      </c>
      <c r="C35" s="744">
        <f>IF(C22=0,0,C12/C22)</f>
        <v>10678.544473230721</v>
      </c>
      <c r="D35" s="744">
        <f>IF(D22=0,0,D12/D22)</f>
        <v>10796.907407148188</v>
      </c>
      <c r="E35" s="744">
        <f>IF(E22=0,0,E12/E22)</f>
        <v>10618.602215853776</v>
      </c>
    </row>
    <row r="36" spans="1:5" ht="26.1" customHeight="1" x14ac:dyDescent="0.25">
      <c r="A36" s="742">
        <v>4</v>
      </c>
      <c r="B36" s="743" t="s">
        <v>951</v>
      </c>
      <c r="C36" s="744">
        <f>IF(C23=0,0,C12/C23)</f>
        <v>57998.438742375431</v>
      </c>
      <c r="D36" s="744">
        <f>IF(D23=0,0,D12/D23)</f>
        <v>58991.311770254419</v>
      </c>
      <c r="E36" s="744">
        <f>IF(E23=0,0,E12/E23)</f>
        <v>58452.940571141029</v>
      </c>
    </row>
    <row r="37" spans="1:5" ht="26.1" customHeight="1" x14ac:dyDescent="0.25">
      <c r="A37" s="742">
        <v>5</v>
      </c>
      <c r="B37" s="743" t="s">
        <v>952</v>
      </c>
      <c r="C37" s="744">
        <f>IF(C29=0,0,C12/C29)</f>
        <v>7091.8560131548602</v>
      </c>
      <c r="D37" s="744">
        <f>IF(D29=0,0,D12/D29)</f>
        <v>7037.5601470224865</v>
      </c>
      <c r="E37" s="744">
        <f>IF(E29=0,0,E12/E29)</f>
        <v>6741.4657824425231</v>
      </c>
    </row>
    <row r="38" spans="1:5" ht="26.1" customHeight="1" x14ac:dyDescent="0.25">
      <c r="A38" s="742">
        <v>6</v>
      </c>
      <c r="B38" s="743" t="s">
        <v>953</v>
      </c>
      <c r="C38" s="744">
        <f>IF(C30=0,0,C12/C30)</f>
        <v>38518.037507809153</v>
      </c>
      <c r="D38" s="744">
        <f>IF(D30=0,0,D12/D30)</f>
        <v>38451.279526585917</v>
      </c>
      <c r="E38" s="744">
        <f>IF(E30=0,0,E12/E30)</f>
        <v>37110.20440667386</v>
      </c>
    </row>
    <row r="39" spans="1:5" ht="26.1" customHeight="1" x14ac:dyDescent="0.25">
      <c r="A39" s="742">
        <v>7</v>
      </c>
      <c r="B39" s="743" t="s">
        <v>954</v>
      </c>
      <c r="C39" s="744">
        <f>IF(C22=0,0,C10/C22)</f>
        <v>5800.3803680034907</v>
      </c>
      <c r="D39" s="744">
        <f>IF(D22=0,0,D10/D22)</f>
        <v>5727.9596276107231</v>
      </c>
      <c r="E39" s="744">
        <f>IF(E22=0,0,E10/E22)</f>
        <v>5546.4972073730623</v>
      </c>
    </row>
    <row r="40" spans="1:5" ht="26.1" customHeight="1" x14ac:dyDescent="0.25">
      <c r="A40" s="742">
        <v>8</v>
      </c>
      <c r="B40" s="743" t="s">
        <v>955</v>
      </c>
      <c r="C40" s="744">
        <f>IF(C23=0,0,C10/C23)</f>
        <v>31503.638562301938</v>
      </c>
      <c r="D40" s="744">
        <f>IF(D23=0,0,D10/D23)</f>
        <v>31295.984994379494</v>
      </c>
      <c r="E40" s="744">
        <f>IF(E23=0,0,E10/E23)</f>
        <v>30532.179758699971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956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957</v>
      </c>
      <c r="C43" s="744">
        <f>IF(C19=0,0,C13/C19)</f>
        <v>5482.463688264188</v>
      </c>
      <c r="D43" s="744">
        <f>IF(D19=0,0,D13/D19)</f>
        <v>5734.390164240388</v>
      </c>
      <c r="E43" s="744">
        <f>IF(E19=0,0,E13/E19)</f>
        <v>5752.8875115980381</v>
      </c>
    </row>
    <row r="44" spans="1:5" ht="26.1" customHeight="1" x14ac:dyDescent="0.25">
      <c r="A44" s="742">
        <v>2</v>
      </c>
      <c r="B44" s="743" t="s">
        <v>958</v>
      </c>
      <c r="C44" s="744">
        <f>IF(C20=0,0,C13/C20)</f>
        <v>29776.935909027237</v>
      </c>
      <c r="D44" s="744">
        <f>IF(D20=0,0,D13/D20)</f>
        <v>31331.119665527967</v>
      </c>
      <c r="E44" s="744">
        <f>IF(E20=0,0,E13/E20)</f>
        <v>31668.310479305572</v>
      </c>
    </row>
    <row r="45" spans="1:5" ht="26.1" customHeight="1" x14ac:dyDescent="0.25">
      <c r="A45" s="742">
        <v>3</v>
      </c>
      <c r="B45" s="743" t="s">
        <v>959</v>
      </c>
      <c r="C45" s="744">
        <f>IF(C22=0,0,C13/C22)</f>
        <v>2977.9690317737309</v>
      </c>
      <c r="D45" s="744">
        <f>IF(D22=0,0,D13/D22)</f>
        <v>3042.2003367363086</v>
      </c>
      <c r="E45" s="744">
        <f>IF(E22=0,0,E13/E22)</f>
        <v>3004.9505451640402</v>
      </c>
    </row>
    <row r="46" spans="1:5" ht="26.1" customHeight="1" x14ac:dyDescent="0.25">
      <c r="A46" s="742">
        <v>4</v>
      </c>
      <c r="B46" s="743" t="s">
        <v>960</v>
      </c>
      <c r="C46" s="744">
        <f>IF(C23=0,0,C13/C23)</f>
        <v>16174.259975129859</v>
      </c>
      <c r="D46" s="744">
        <f>IF(D23=0,0,D13/D23)</f>
        <v>16621.740074678164</v>
      </c>
      <c r="E46" s="744">
        <f>IF(E23=0,0,E13/E23)</f>
        <v>16541.555288081643</v>
      </c>
    </row>
    <row r="47" spans="1:5" ht="26.1" customHeight="1" x14ac:dyDescent="0.25">
      <c r="A47" s="742">
        <v>5</v>
      </c>
      <c r="B47" s="743" t="s">
        <v>961</v>
      </c>
      <c r="C47" s="744">
        <f>IF(C29=0,0,C13/C29)</f>
        <v>1977.7346657979488</v>
      </c>
      <c r="D47" s="744">
        <f>IF(D29=0,0,D13/D29)</f>
        <v>1982.9444712010195</v>
      </c>
      <c r="E47" s="744">
        <f>IF(E29=0,0,E13/E29)</f>
        <v>1907.762515852618</v>
      </c>
    </row>
    <row r="48" spans="1:5" ht="26.1" customHeight="1" x14ac:dyDescent="0.25">
      <c r="A48" s="742">
        <v>6</v>
      </c>
      <c r="B48" s="743" t="s">
        <v>962</v>
      </c>
      <c r="C48" s="744">
        <f>IF(C30=0,0,C13/C30)</f>
        <v>10741.681429571394</v>
      </c>
      <c r="D48" s="744">
        <f>IF(D30=0,0,D13/D30)</f>
        <v>10834.259396007812</v>
      </c>
      <c r="E48" s="744">
        <f>IF(E30=0,0,E13/E30)</f>
        <v>10501.789849184721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963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964</v>
      </c>
      <c r="C51" s="744">
        <f>IF(C19=0,0,C16/C19)</f>
        <v>5316.0099879253958</v>
      </c>
      <c r="D51" s="744">
        <f>IF(D19=0,0,D16/D19)</f>
        <v>5630.281821575215</v>
      </c>
      <c r="E51" s="744">
        <f>IF(E19=0,0,E16/E19)</f>
        <v>5896.9317189778185</v>
      </c>
    </row>
    <row r="52" spans="1:6" ht="26.1" customHeight="1" x14ac:dyDescent="0.25">
      <c r="A52" s="742">
        <v>2</v>
      </c>
      <c r="B52" s="743" t="s">
        <v>965</v>
      </c>
      <c r="C52" s="744">
        <f>IF(C20=0,0,C16/C20)</f>
        <v>28872.87498885762</v>
      </c>
      <c r="D52" s="744">
        <f>IF(D20=0,0,D16/D20)</f>
        <v>30762.300514964565</v>
      </c>
      <c r="E52" s="744">
        <f>IF(E20=0,0,E16/E20)</f>
        <v>32461.240407598441</v>
      </c>
    </row>
    <row r="53" spans="1:6" ht="26.1" customHeight="1" x14ac:dyDescent="0.25">
      <c r="A53" s="742">
        <v>3</v>
      </c>
      <c r="B53" s="743" t="s">
        <v>966</v>
      </c>
      <c r="C53" s="744">
        <f>IF(C22=0,0,C16/C22)</f>
        <v>2887.5545770653202</v>
      </c>
      <c r="D53" s="744">
        <f>IF(D22=0,0,D16/D22)</f>
        <v>2986.9689300754744</v>
      </c>
      <c r="E53" s="744">
        <f>IF(E22=0,0,E16/E22)</f>
        <v>3080.1902780148839</v>
      </c>
    </row>
    <row r="54" spans="1:6" ht="26.1" customHeight="1" x14ac:dyDescent="0.25">
      <c r="A54" s="742">
        <v>4</v>
      </c>
      <c r="B54" s="743" t="s">
        <v>967</v>
      </c>
      <c r="C54" s="744">
        <f>IF(C23=0,0,C16/C23)</f>
        <v>15683.191438029453</v>
      </c>
      <c r="D54" s="744">
        <f>IF(D23=0,0,D16/D23)</f>
        <v>16319.970965527344</v>
      </c>
      <c r="E54" s="744">
        <f>IF(E23=0,0,E16/E23)</f>
        <v>16955.732553932383</v>
      </c>
    </row>
    <row r="55" spans="1:6" ht="26.1" customHeight="1" x14ac:dyDescent="0.25">
      <c r="A55" s="742">
        <v>5</v>
      </c>
      <c r="B55" s="743" t="s">
        <v>968</v>
      </c>
      <c r="C55" s="744">
        <f>IF(C29=0,0,C16/C29)</f>
        <v>1917.6884398439011</v>
      </c>
      <c r="D55" s="744">
        <f>IF(D29=0,0,D16/D29)</f>
        <v>1946.9439451501114</v>
      </c>
      <c r="E55" s="744">
        <f>IF(E29=0,0,E16/E29)</f>
        <v>1955.530204497813</v>
      </c>
    </row>
    <row r="56" spans="1:6" ht="26.1" customHeight="1" x14ac:dyDescent="0.25">
      <c r="A56" s="742">
        <v>6</v>
      </c>
      <c r="B56" s="743" t="s">
        <v>969</v>
      </c>
      <c r="C56" s="744">
        <f>IF(C30=0,0,C16/C30)</f>
        <v>10415.552024347964</v>
      </c>
      <c r="D56" s="744">
        <f>IF(D30=0,0,D16/D30)</f>
        <v>10637.562492341096</v>
      </c>
      <c r="E56" s="744">
        <f>IF(E30=0,0,E16/E30)</f>
        <v>10764.739888073042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970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971</v>
      </c>
      <c r="C59" s="752">
        <v>328622000</v>
      </c>
      <c r="D59" s="752">
        <v>342098000</v>
      </c>
      <c r="E59" s="752">
        <v>365062000</v>
      </c>
    </row>
    <row r="60" spans="1:6" ht="26.1" customHeight="1" x14ac:dyDescent="0.25">
      <c r="A60" s="742">
        <v>2</v>
      </c>
      <c r="B60" s="743" t="s">
        <v>972</v>
      </c>
      <c r="C60" s="752">
        <v>91823000</v>
      </c>
      <c r="D60" s="752">
        <v>98661000</v>
      </c>
      <c r="E60" s="752">
        <v>105284000</v>
      </c>
    </row>
    <row r="61" spans="1:6" ht="26.1" customHeight="1" x14ac:dyDescent="0.25">
      <c r="A61" s="753">
        <v>3</v>
      </c>
      <c r="B61" s="754" t="s">
        <v>973</v>
      </c>
      <c r="C61" s="755">
        <f>C59+C60</f>
        <v>420445000</v>
      </c>
      <c r="D61" s="755">
        <f>D59+D60</f>
        <v>440759000</v>
      </c>
      <c r="E61" s="755">
        <f>E59+E60</f>
        <v>470346000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974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975</v>
      </c>
      <c r="C64" s="744">
        <v>0</v>
      </c>
      <c r="D64" s="744">
        <v>0</v>
      </c>
      <c r="E64" s="752">
        <v>0</v>
      </c>
      <c r="F64" s="756"/>
    </row>
    <row r="65" spans="1:6" ht="26.1" customHeight="1" x14ac:dyDescent="0.25">
      <c r="A65" s="742">
        <v>2</v>
      </c>
      <c r="B65" s="743" t="s">
        <v>976</v>
      </c>
      <c r="C65" s="752">
        <v>0</v>
      </c>
      <c r="D65" s="752">
        <v>0</v>
      </c>
      <c r="E65" s="752">
        <v>0</v>
      </c>
      <c r="F65" s="756"/>
    </row>
    <row r="66" spans="1:6" ht="26.1" customHeight="1" x14ac:dyDescent="0.25">
      <c r="A66" s="753">
        <v>3</v>
      </c>
      <c r="B66" s="754" t="s">
        <v>977</v>
      </c>
      <c r="C66" s="757">
        <f>C64+C65</f>
        <v>0</v>
      </c>
      <c r="D66" s="757">
        <f>D64+D65</f>
        <v>0</v>
      </c>
      <c r="E66" s="757">
        <f>E64+E65</f>
        <v>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978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979</v>
      </c>
      <c r="C69" s="752">
        <v>480062000</v>
      </c>
      <c r="D69" s="752">
        <v>475792000</v>
      </c>
      <c r="E69" s="752">
        <v>473997000</v>
      </c>
    </row>
    <row r="70" spans="1:6" ht="26.1" customHeight="1" x14ac:dyDescent="0.25">
      <c r="A70" s="742">
        <v>2</v>
      </c>
      <c r="B70" s="743" t="s">
        <v>980</v>
      </c>
      <c r="C70" s="752">
        <v>134138000</v>
      </c>
      <c r="D70" s="752">
        <v>137189000</v>
      </c>
      <c r="E70" s="752">
        <v>132730000</v>
      </c>
    </row>
    <row r="71" spans="1:6" ht="26.1" customHeight="1" x14ac:dyDescent="0.25">
      <c r="A71" s="753">
        <v>3</v>
      </c>
      <c r="B71" s="754" t="s">
        <v>981</v>
      </c>
      <c r="C71" s="755">
        <f>C69+C70</f>
        <v>614200000</v>
      </c>
      <c r="D71" s="755">
        <f>D69+D70</f>
        <v>612981000</v>
      </c>
      <c r="E71" s="755">
        <f>E69+E70</f>
        <v>606727000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982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983</v>
      </c>
      <c r="C75" s="744">
        <f t="shared" ref="C75:E76" si="0">+C59+C64+C69</f>
        <v>808684000</v>
      </c>
      <c r="D75" s="744">
        <f t="shared" si="0"/>
        <v>817890000</v>
      </c>
      <c r="E75" s="744">
        <f t="shared" si="0"/>
        <v>839059000</v>
      </c>
    </row>
    <row r="76" spans="1:6" ht="26.1" customHeight="1" x14ac:dyDescent="0.25">
      <c r="A76" s="742">
        <v>2</v>
      </c>
      <c r="B76" s="743" t="s">
        <v>984</v>
      </c>
      <c r="C76" s="744">
        <f t="shared" si="0"/>
        <v>225961000</v>
      </c>
      <c r="D76" s="744">
        <f t="shared" si="0"/>
        <v>235850000</v>
      </c>
      <c r="E76" s="744">
        <f t="shared" si="0"/>
        <v>238014000</v>
      </c>
    </row>
    <row r="77" spans="1:6" ht="26.1" customHeight="1" x14ac:dyDescent="0.25">
      <c r="A77" s="753">
        <v>3</v>
      </c>
      <c r="B77" s="754" t="s">
        <v>982</v>
      </c>
      <c r="C77" s="757">
        <f>C75+C76</f>
        <v>1034645000</v>
      </c>
      <c r="D77" s="757">
        <f>D75+D76</f>
        <v>1053740000</v>
      </c>
      <c r="E77" s="757">
        <f>E75+E76</f>
        <v>1077073000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985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4684.2</v>
      </c>
      <c r="D80" s="749">
        <v>4892</v>
      </c>
      <c r="E80" s="749">
        <v>4435.8999999999996</v>
      </c>
    </row>
    <row r="81" spans="1:5" ht="26.1" customHeight="1" x14ac:dyDescent="0.25">
      <c r="A81" s="742">
        <v>2</v>
      </c>
      <c r="B81" s="743" t="s">
        <v>617</v>
      </c>
      <c r="C81" s="749">
        <v>0</v>
      </c>
      <c r="D81" s="749">
        <v>0</v>
      </c>
      <c r="E81" s="749">
        <v>0</v>
      </c>
    </row>
    <row r="82" spans="1:5" ht="26.1" customHeight="1" x14ac:dyDescent="0.25">
      <c r="A82" s="742">
        <v>3</v>
      </c>
      <c r="B82" s="743" t="s">
        <v>986</v>
      </c>
      <c r="C82" s="749">
        <v>6194.4</v>
      </c>
      <c r="D82" s="749">
        <v>5801.5</v>
      </c>
      <c r="E82" s="749">
        <v>6388.8</v>
      </c>
    </row>
    <row r="83" spans="1:5" ht="26.1" customHeight="1" x14ac:dyDescent="0.25">
      <c r="A83" s="753">
        <v>4</v>
      </c>
      <c r="B83" s="754" t="s">
        <v>985</v>
      </c>
      <c r="C83" s="759">
        <f>C80+C81+C82</f>
        <v>10878.599999999999</v>
      </c>
      <c r="D83" s="759">
        <f>D80+D81+D82</f>
        <v>10693.5</v>
      </c>
      <c r="E83" s="759">
        <f>E80+E81+E82</f>
        <v>10824.7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987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988</v>
      </c>
      <c r="C86" s="752">
        <f>IF(C80=0,0,C59/C80)</f>
        <v>70155.416079586692</v>
      </c>
      <c r="D86" s="752">
        <f>IF(D80=0,0,D59/D80)</f>
        <v>69930.08994276369</v>
      </c>
      <c r="E86" s="752">
        <f>IF(E80=0,0,E59/E80)</f>
        <v>82297.166302216021</v>
      </c>
    </row>
    <row r="87" spans="1:5" ht="26.1" customHeight="1" x14ac:dyDescent="0.25">
      <c r="A87" s="742">
        <v>2</v>
      </c>
      <c r="B87" s="743" t="s">
        <v>989</v>
      </c>
      <c r="C87" s="752">
        <f>IF(C80=0,0,C60/C80)</f>
        <v>19602.706972375221</v>
      </c>
      <c r="D87" s="752">
        <f>IF(D80=0,0,D60/D80)</f>
        <v>20167.825020441538</v>
      </c>
      <c r="E87" s="752">
        <f>IF(E80=0,0,E60/E80)</f>
        <v>23734.529633219867</v>
      </c>
    </row>
    <row r="88" spans="1:5" ht="26.1" customHeight="1" x14ac:dyDescent="0.25">
      <c r="A88" s="753">
        <v>3</v>
      </c>
      <c r="B88" s="754" t="s">
        <v>990</v>
      </c>
      <c r="C88" s="755">
        <f>+C86+C87</f>
        <v>89758.123051961913</v>
      </c>
      <c r="D88" s="755">
        <f>+D86+D87</f>
        <v>90097.914963205229</v>
      </c>
      <c r="E88" s="755">
        <f>+E86+E87</f>
        <v>106031.69593543588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991</v>
      </c>
    </row>
    <row r="91" spans="1:5" ht="26.1" customHeight="1" x14ac:dyDescent="0.25">
      <c r="A91" s="742">
        <v>1</v>
      </c>
      <c r="B91" s="743" t="s">
        <v>992</v>
      </c>
      <c r="C91" s="744">
        <f>IF(C81=0,0,C64/C81)</f>
        <v>0</v>
      </c>
      <c r="D91" s="744">
        <f>IF(D81=0,0,D64/D81)</f>
        <v>0</v>
      </c>
      <c r="E91" s="744">
        <f>IF(E81=0,0,E64/E81)</f>
        <v>0</v>
      </c>
    </row>
    <row r="92" spans="1:5" ht="26.1" customHeight="1" x14ac:dyDescent="0.25">
      <c r="A92" s="742">
        <v>2</v>
      </c>
      <c r="B92" s="743" t="s">
        <v>993</v>
      </c>
      <c r="C92" s="744">
        <f>IF(C81=0,0,C65/C81)</f>
        <v>0</v>
      </c>
      <c r="D92" s="744">
        <f>IF(D81=0,0,D65/D81)</f>
        <v>0</v>
      </c>
      <c r="E92" s="744">
        <f>IF(E81=0,0,E65/E81)</f>
        <v>0</v>
      </c>
    </row>
    <row r="93" spans="1:5" ht="26.1" customHeight="1" x14ac:dyDescent="0.25">
      <c r="A93" s="753">
        <v>3</v>
      </c>
      <c r="B93" s="754" t="s">
        <v>994</v>
      </c>
      <c r="C93" s="757">
        <f>+C91+C92</f>
        <v>0</v>
      </c>
      <c r="D93" s="757">
        <f>+D91+D92</f>
        <v>0</v>
      </c>
      <c r="E93" s="757">
        <f>+E91+E92</f>
        <v>0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995</v>
      </c>
      <c r="B95" s="745" t="s">
        <v>996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997</v>
      </c>
      <c r="C96" s="752">
        <f>IF(C82=0,0,C69/C82)</f>
        <v>77499.35425545655</v>
      </c>
      <c r="D96" s="752">
        <f>IF(D82=0,0,D69/D82)</f>
        <v>82011.893475825214</v>
      </c>
      <c r="E96" s="752">
        <f>IF(E82=0,0,E69/E82)</f>
        <v>74191.867017280238</v>
      </c>
    </row>
    <row r="97" spans="1:5" ht="26.1" customHeight="1" x14ac:dyDescent="0.25">
      <c r="A97" s="742">
        <v>2</v>
      </c>
      <c r="B97" s="743" t="s">
        <v>998</v>
      </c>
      <c r="C97" s="752">
        <f>IF(C82=0,0,C70/C82)</f>
        <v>21654.720392612682</v>
      </c>
      <c r="D97" s="752">
        <f>IF(D82=0,0,D70/D82)</f>
        <v>23647.16021718521</v>
      </c>
      <c r="E97" s="752">
        <f>IF(E82=0,0,E70/E82)</f>
        <v>20775.419484097169</v>
      </c>
    </row>
    <row r="98" spans="1:5" ht="26.1" customHeight="1" x14ac:dyDescent="0.25">
      <c r="A98" s="753">
        <v>3</v>
      </c>
      <c r="B98" s="754" t="s">
        <v>999</v>
      </c>
      <c r="C98" s="757">
        <f>+C96+C97</f>
        <v>99154.074648069232</v>
      </c>
      <c r="D98" s="757">
        <f>+D96+D97</f>
        <v>105659.05369301043</v>
      </c>
      <c r="E98" s="757">
        <f>+E96+E97</f>
        <v>94967.286501377414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1000</v>
      </c>
      <c r="B100" s="745" t="s">
        <v>1001</v>
      </c>
    </row>
    <row r="101" spans="1:5" ht="26.1" customHeight="1" x14ac:dyDescent="0.25">
      <c r="A101" s="742">
        <v>1</v>
      </c>
      <c r="B101" s="743" t="s">
        <v>1002</v>
      </c>
      <c r="C101" s="744">
        <f>IF(C83=0,0,C75/C83)</f>
        <v>74337.138970088068</v>
      </c>
      <c r="D101" s="744">
        <f>IF(D83=0,0,D75/D83)</f>
        <v>76484.780474119791</v>
      </c>
      <c r="E101" s="744">
        <f>IF(E83=0,0,E75/E83)</f>
        <v>77513.37219507237</v>
      </c>
    </row>
    <row r="102" spans="1:5" ht="26.1" customHeight="1" x14ac:dyDescent="0.25">
      <c r="A102" s="742">
        <v>2</v>
      </c>
      <c r="B102" s="743" t="s">
        <v>1003</v>
      </c>
      <c r="C102" s="761">
        <f>IF(C83=0,0,C76/C83)</f>
        <v>20771.147022594821</v>
      </c>
      <c r="D102" s="761">
        <f>IF(D83=0,0,D76/D83)</f>
        <v>22055.454247907608</v>
      </c>
      <c r="E102" s="761">
        <f>IF(E83=0,0,E76/E83)</f>
        <v>21988.045858083824</v>
      </c>
    </row>
    <row r="103" spans="1:5" ht="26.1" customHeight="1" x14ac:dyDescent="0.25">
      <c r="A103" s="753">
        <v>3</v>
      </c>
      <c r="B103" s="754" t="s">
        <v>1001</v>
      </c>
      <c r="C103" s="757">
        <f>+C101+C102</f>
        <v>95108.285992682882</v>
      </c>
      <c r="D103" s="757">
        <f>+D101+D102</f>
        <v>98540.234722027395</v>
      </c>
      <c r="E103" s="757">
        <f>+E101+E102</f>
        <v>99501.418053156201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1004</v>
      </c>
      <c r="B107" s="736" t="s">
        <v>1005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1006</v>
      </c>
      <c r="C108" s="744">
        <f>IF(C19=0,0,C77/C19)</f>
        <v>2425.8115189383725</v>
      </c>
      <c r="D108" s="744">
        <f>IF(D19=0,0,D77/D19)</f>
        <v>2458.3333333333335</v>
      </c>
      <c r="E108" s="744">
        <f>IF(E19=0,0,E77/E19)</f>
        <v>2461.4648036674939</v>
      </c>
    </row>
    <row r="109" spans="1:5" ht="26.1" customHeight="1" x14ac:dyDescent="0.25">
      <c r="A109" s="742">
        <v>2</v>
      </c>
      <c r="B109" s="743" t="s">
        <v>1007</v>
      </c>
      <c r="C109" s="744">
        <f>IF(C20=0,0,C77/C20)</f>
        <v>13175.323765742593</v>
      </c>
      <c r="D109" s="744">
        <f>IF(D20=0,0,D77/D20)</f>
        <v>13431.652475398971</v>
      </c>
      <c r="E109" s="744">
        <f>IF(E20=0,0,E77/E20)</f>
        <v>13549.792426720342</v>
      </c>
    </row>
    <row r="110" spans="1:5" ht="26.1" customHeight="1" x14ac:dyDescent="0.25">
      <c r="A110" s="742">
        <v>3</v>
      </c>
      <c r="B110" s="743" t="s">
        <v>1008</v>
      </c>
      <c r="C110" s="744">
        <f>IF(C22=0,0,C77/C22)</f>
        <v>1317.6542501835829</v>
      </c>
      <c r="D110" s="744">
        <f>IF(D22=0,0,D77/D22)</f>
        <v>1304.1914275582674</v>
      </c>
      <c r="E110" s="744">
        <f>IF(E22=0,0,E77/E22)</f>
        <v>1285.7160841005407</v>
      </c>
    </row>
    <row r="111" spans="1:5" ht="26.1" customHeight="1" x14ac:dyDescent="0.25">
      <c r="A111" s="742">
        <v>4</v>
      </c>
      <c r="B111" s="743" t="s">
        <v>1009</v>
      </c>
      <c r="C111" s="744">
        <f>IF(C23=0,0,C77/C23)</f>
        <v>7156.5829504648063</v>
      </c>
      <c r="D111" s="744">
        <f>IF(D23=0,0,D77/D23)</f>
        <v>7125.7407524164537</v>
      </c>
      <c r="E111" s="744">
        <f>IF(E23=0,0,E77/E23)</f>
        <v>7077.5686222695931</v>
      </c>
    </row>
    <row r="112" spans="1:5" ht="26.1" customHeight="1" x14ac:dyDescent="0.25">
      <c r="A112" s="742">
        <v>5</v>
      </c>
      <c r="B112" s="743" t="s">
        <v>1010</v>
      </c>
      <c r="C112" s="744">
        <f>IF(C29=0,0,C77/C29)</f>
        <v>875.08313898479764</v>
      </c>
      <c r="D112" s="744">
        <f>IF(D29=0,0,D77/D29)</f>
        <v>850.08838814305602</v>
      </c>
      <c r="E112" s="744">
        <f>IF(E29=0,0,E77/E29)</f>
        <v>816.2666620997328</v>
      </c>
    </row>
    <row r="113" spans="1:7" ht="25.5" customHeight="1" x14ac:dyDescent="0.25">
      <c r="A113" s="742">
        <v>6</v>
      </c>
      <c r="B113" s="743" t="s">
        <v>1011</v>
      </c>
      <c r="C113" s="744">
        <f>IF(C30=0,0,C77/C30)</f>
        <v>4752.8439815113006</v>
      </c>
      <c r="D113" s="744">
        <f>IF(D30=0,0,D77/D30)</f>
        <v>4644.6475130479721</v>
      </c>
      <c r="E113" s="744">
        <f>IF(E30=0,0,E77/E30)</f>
        <v>4493.3585155570327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FILING&amp;R&amp;"Arial,Bold"&amp;12YALE-NEW HAVEN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8723514000</v>
      </c>
      <c r="D12" s="76">
        <v>8895441000</v>
      </c>
      <c r="E12" s="76">
        <f t="shared" ref="E12:E21" si="0">D12-C12</f>
        <v>171927000</v>
      </c>
      <c r="F12" s="77">
        <f t="shared" ref="F12:F21" si="1">IF(C12=0,0,E12/C12)</f>
        <v>1.9708456936046642E-2</v>
      </c>
    </row>
    <row r="13" spans="1:8" ht="23.1" customHeight="1" x14ac:dyDescent="0.2">
      <c r="A13" s="74">
        <v>2</v>
      </c>
      <c r="B13" s="75" t="s">
        <v>72</v>
      </c>
      <c r="C13" s="76">
        <v>6009231000</v>
      </c>
      <c r="D13" s="76">
        <v>6183276000</v>
      </c>
      <c r="E13" s="76">
        <f t="shared" si="0"/>
        <v>174045000</v>
      </c>
      <c r="F13" s="77">
        <f t="shared" si="1"/>
        <v>2.8962940516016108E-2</v>
      </c>
    </row>
    <row r="14" spans="1:8" ht="23.1" customHeight="1" x14ac:dyDescent="0.2">
      <c r="A14" s="74">
        <v>3</v>
      </c>
      <c r="B14" s="75" t="s">
        <v>73</v>
      </c>
      <c r="C14" s="76">
        <v>206990000</v>
      </c>
      <c r="D14" s="76">
        <v>131982000</v>
      </c>
      <c r="E14" s="76">
        <f t="shared" si="0"/>
        <v>-75008000</v>
      </c>
      <c r="F14" s="77">
        <f t="shared" si="1"/>
        <v>-0.36237499396106093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2507293000</v>
      </c>
      <c r="D16" s="79">
        <f>D12-D13-D14-D15</f>
        <v>2580183000</v>
      </c>
      <c r="E16" s="79">
        <f t="shared" si="0"/>
        <v>72890000</v>
      </c>
      <c r="F16" s="80">
        <f t="shared" si="1"/>
        <v>2.9071193514280141E-2</v>
      </c>
    </row>
    <row r="17" spans="1:7" ht="23.1" customHeight="1" x14ac:dyDescent="0.2">
      <c r="A17" s="74">
        <v>5</v>
      </c>
      <c r="B17" s="75" t="s">
        <v>76</v>
      </c>
      <c r="C17" s="76">
        <v>49304000</v>
      </c>
      <c r="D17" s="76">
        <v>62869000</v>
      </c>
      <c r="E17" s="76">
        <f t="shared" si="0"/>
        <v>13565000</v>
      </c>
      <c r="F17" s="77">
        <f t="shared" si="1"/>
        <v>0.27512980691221806</v>
      </c>
      <c r="G17" s="65"/>
    </row>
    <row r="18" spans="1:7" ht="31.5" customHeight="1" x14ac:dyDescent="0.25">
      <c r="A18" s="71"/>
      <c r="B18" s="81" t="s">
        <v>77</v>
      </c>
      <c r="C18" s="79">
        <f>C16-C17</f>
        <v>2457989000</v>
      </c>
      <c r="D18" s="79">
        <f>D16-D17</f>
        <v>2517314000</v>
      </c>
      <c r="E18" s="79">
        <f t="shared" si="0"/>
        <v>59325000</v>
      </c>
      <c r="F18" s="80">
        <f t="shared" si="1"/>
        <v>2.4135584007902396E-2</v>
      </c>
    </row>
    <row r="19" spans="1:7" ht="23.1" customHeight="1" x14ac:dyDescent="0.2">
      <c r="A19" s="74">
        <v>6</v>
      </c>
      <c r="B19" s="75" t="s">
        <v>78</v>
      </c>
      <c r="C19" s="76">
        <v>57562000</v>
      </c>
      <c r="D19" s="76">
        <v>133660000</v>
      </c>
      <c r="E19" s="76">
        <f t="shared" si="0"/>
        <v>76098000</v>
      </c>
      <c r="F19" s="77">
        <f t="shared" si="1"/>
        <v>1.3220179979847817</v>
      </c>
      <c r="G19" s="65"/>
    </row>
    <row r="20" spans="1:7" ht="33" customHeight="1" x14ac:dyDescent="0.2">
      <c r="A20" s="74">
        <v>7</v>
      </c>
      <c r="B20" s="82" t="s">
        <v>79</v>
      </c>
      <c r="C20" s="76">
        <v>11325000</v>
      </c>
      <c r="D20" s="76">
        <v>15310000</v>
      </c>
      <c r="E20" s="76">
        <f t="shared" si="0"/>
        <v>3985000</v>
      </c>
      <c r="F20" s="77">
        <f t="shared" si="1"/>
        <v>0.3518763796909492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2526876000</v>
      </c>
      <c r="D21" s="79">
        <f>SUM(D18:D20)</f>
        <v>2666284000</v>
      </c>
      <c r="E21" s="79">
        <f t="shared" si="0"/>
        <v>139408000</v>
      </c>
      <c r="F21" s="80">
        <f t="shared" si="1"/>
        <v>5.5170099363799407E-2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817890000</v>
      </c>
      <c r="D24" s="76">
        <v>839059000</v>
      </c>
      <c r="E24" s="76">
        <f t="shared" ref="E24:E33" si="2">D24-C24</f>
        <v>21169000</v>
      </c>
      <c r="F24" s="77">
        <f t="shared" ref="F24:F33" si="3">IF(C24=0,0,E24/C24)</f>
        <v>2.5882453630683831E-2</v>
      </c>
    </row>
    <row r="25" spans="1:7" ht="23.1" customHeight="1" x14ac:dyDescent="0.2">
      <c r="A25" s="74">
        <v>2</v>
      </c>
      <c r="B25" s="75" t="s">
        <v>83</v>
      </c>
      <c r="C25" s="76">
        <v>235850000</v>
      </c>
      <c r="D25" s="76">
        <v>238014000</v>
      </c>
      <c r="E25" s="76">
        <f t="shared" si="2"/>
        <v>2164000</v>
      </c>
      <c r="F25" s="77">
        <f t="shared" si="3"/>
        <v>9.1753232987068049E-3</v>
      </c>
    </row>
    <row r="26" spans="1:7" ht="23.1" customHeight="1" x14ac:dyDescent="0.2">
      <c r="A26" s="74">
        <v>3</v>
      </c>
      <c r="B26" s="75" t="s">
        <v>84</v>
      </c>
      <c r="C26" s="76">
        <v>89392000</v>
      </c>
      <c r="D26" s="76">
        <v>92313000</v>
      </c>
      <c r="E26" s="76">
        <f t="shared" si="2"/>
        <v>2921000</v>
      </c>
      <c r="F26" s="77">
        <f t="shared" si="3"/>
        <v>3.2676302129944511E-2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457333000</v>
      </c>
      <c r="D27" s="76">
        <v>486881000</v>
      </c>
      <c r="E27" s="76">
        <f t="shared" si="2"/>
        <v>29548000</v>
      </c>
      <c r="F27" s="77">
        <f t="shared" si="3"/>
        <v>6.4609376537446458E-2</v>
      </c>
    </row>
    <row r="28" spans="1:7" ht="23.1" customHeight="1" x14ac:dyDescent="0.2">
      <c r="A28" s="74">
        <v>5</v>
      </c>
      <c r="B28" s="75" t="s">
        <v>86</v>
      </c>
      <c r="C28" s="76">
        <v>119157000</v>
      </c>
      <c r="D28" s="76">
        <v>125736000</v>
      </c>
      <c r="E28" s="76">
        <f t="shared" si="2"/>
        <v>6579000</v>
      </c>
      <c r="F28" s="77">
        <f t="shared" si="3"/>
        <v>5.5212870414663009E-2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20696000</v>
      </c>
      <c r="D30" s="76">
        <v>22464000</v>
      </c>
      <c r="E30" s="76">
        <f t="shared" si="2"/>
        <v>1768000</v>
      </c>
      <c r="F30" s="77">
        <f t="shared" si="3"/>
        <v>8.5427135678391955E-2</v>
      </c>
    </row>
    <row r="31" spans="1:7" ht="23.1" customHeight="1" x14ac:dyDescent="0.2">
      <c r="A31" s="74">
        <v>8</v>
      </c>
      <c r="B31" s="75" t="s">
        <v>89</v>
      </c>
      <c r="C31" s="76">
        <v>14594000</v>
      </c>
      <c r="D31" s="76">
        <v>22728000</v>
      </c>
      <c r="E31" s="76">
        <f t="shared" si="2"/>
        <v>8134000</v>
      </c>
      <c r="F31" s="77">
        <f t="shared" si="3"/>
        <v>0.55735233657667538</v>
      </c>
    </row>
    <row r="32" spans="1:7" ht="23.1" customHeight="1" x14ac:dyDescent="0.2">
      <c r="A32" s="74">
        <v>9</v>
      </c>
      <c r="B32" s="75" t="s">
        <v>90</v>
      </c>
      <c r="C32" s="76">
        <v>658452000</v>
      </c>
      <c r="D32" s="76">
        <v>753149000</v>
      </c>
      <c r="E32" s="76">
        <f t="shared" si="2"/>
        <v>94697000</v>
      </c>
      <c r="F32" s="77">
        <f t="shared" si="3"/>
        <v>0.14381762072254317</v>
      </c>
    </row>
    <row r="33" spans="1:6" ht="23.1" customHeight="1" x14ac:dyDescent="0.25">
      <c r="A33" s="71"/>
      <c r="B33" s="78" t="s">
        <v>91</v>
      </c>
      <c r="C33" s="79">
        <f>SUM(C24:C32)</f>
        <v>2413364000</v>
      </c>
      <c r="D33" s="79">
        <f>SUM(D24:D32)</f>
        <v>2580344000</v>
      </c>
      <c r="E33" s="79">
        <f t="shared" si="2"/>
        <v>166980000</v>
      </c>
      <c r="F33" s="80">
        <f t="shared" si="3"/>
        <v>6.9189728528311525E-2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113512000</v>
      </c>
      <c r="D35" s="79">
        <f>+D21-D33</f>
        <v>85940000</v>
      </c>
      <c r="E35" s="79">
        <f>D35-C35</f>
        <v>-27572000</v>
      </c>
      <c r="F35" s="80">
        <f>IF(C35=0,0,E35/C35)</f>
        <v>-0.24289942913524562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3958000</v>
      </c>
      <c r="D38" s="76">
        <v>15266000</v>
      </c>
      <c r="E38" s="76">
        <f>D38-C38</f>
        <v>11308000</v>
      </c>
      <c r="F38" s="77">
        <f>IF(C38=0,0,E38/C38)</f>
        <v>2.8569984840828702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-28248000</v>
      </c>
      <c r="D40" s="76">
        <v>-29091000</v>
      </c>
      <c r="E40" s="76">
        <f>D40-C40</f>
        <v>-843000</v>
      </c>
      <c r="F40" s="77">
        <f>IF(C40=0,0,E40/C40)</f>
        <v>2.9842820730671196E-2</v>
      </c>
    </row>
    <row r="41" spans="1:6" ht="23.1" customHeight="1" x14ac:dyDescent="0.25">
      <c r="A41" s="83"/>
      <c r="B41" s="78" t="s">
        <v>97</v>
      </c>
      <c r="C41" s="79">
        <f>SUM(C38:C40)</f>
        <v>-24290000</v>
      </c>
      <c r="D41" s="79">
        <f>SUM(D38:D40)</f>
        <v>-13825000</v>
      </c>
      <c r="E41" s="79">
        <f>D41-C41</f>
        <v>10465000</v>
      </c>
      <c r="F41" s="80">
        <f>IF(C41=0,0,E41/C41)</f>
        <v>-0.43083573487031701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89222000</v>
      </c>
      <c r="D43" s="79">
        <f>D35+D41</f>
        <v>72115000</v>
      </c>
      <c r="E43" s="79">
        <f>D43-C43</f>
        <v>-17107000</v>
      </c>
      <c r="F43" s="80">
        <f>IF(C43=0,0,E43/C43)</f>
        <v>-0.19173522225460088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20129000</v>
      </c>
      <c r="D46" s="76">
        <v>88240000</v>
      </c>
      <c r="E46" s="76">
        <f>D46-C46</f>
        <v>68111000</v>
      </c>
      <c r="F46" s="77">
        <f>IF(C46=0,0,E46/C46)</f>
        <v>3.3837249739182274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20129000</v>
      </c>
      <c r="D48" s="79">
        <f>SUM(D46:D47)</f>
        <v>88240000</v>
      </c>
      <c r="E48" s="79">
        <f>D48-C48</f>
        <v>68111000</v>
      </c>
      <c r="F48" s="80">
        <f>IF(C48=0,0,E48/C48)</f>
        <v>3.3837249739182274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109351000</v>
      </c>
      <c r="D50" s="79">
        <f>D43+D48</f>
        <v>160355000</v>
      </c>
      <c r="E50" s="79">
        <f>D50-C50</f>
        <v>51004000</v>
      </c>
      <c r="F50" s="80">
        <f>IF(C50=0,0,E50/C50)</f>
        <v>0.46642463260509737</v>
      </c>
    </row>
    <row r="51" spans="1:6" ht="23.1" customHeight="1" x14ac:dyDescent="0.2">
      <c r="A51" s="85"/>
      <c r="B51" s="75" t="s">
        <v>104</v>
      </c>
      <c r="C51" s="76">
        <v>7626000</v>
      </c>
      <c r="D51" s="76">
        <v>8083000</v>
      </c>
      <c r="E51" s="76">
        <f>D51-C51</f>
        <v>457000</v>
      </c>
      <c r="F51" s="77">
        <f>IF(C51=0,0,E51/C51)</f>
        <v>5.9926567007605562E-2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1" orientation="portrait" horizontalDpi="1200" verticalDpi="1200" r:id="rId1"/>
  <headerFooter>
    <oddHeader>&amp;LOFFICE OF HEALTH CARE ACCESS&amp;CTWELVE MONTHS ACTUAL FILING&amp;RYALE-NEW HAVEN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1499907162</v>
      </c>
      <c r="D14" s="113">
        <v>1517576773</v>
      </c>
      <c r="E14" s="113">
        <f t="shared" ref="E14:E25" si="0">D14-C14</f>
        <v>17669611</v>
      </c>
      <c r="F14" s="114">
        <f t="shared" ref="F14:F25" si="1">IF(C14=0,0,E14/C14)</f>
        <v>1.1780469783502508E-2</v>
      </c>
    </row>
    <row r="15" spans="1:6" x14ac:dyDescent="0.2">
      <c r="A15" s="115">
        <v>2</v>
      </c>
      <c r="B15" s="116" t="s">
        <v>114</v>
      </c>
      <c r="C15" s="113">
        <v>464560392</v>
      </c>
      <c r="D15" s="113">
        <v>471298748</v>
      </c>
      <c r="E15" s="113">
        <f t="shared" si="0"/>
        <v>6738356</v>
      </c>
      <c r="F15" s="114">
        <f t="shared" si="1"/>
        <v>1.4504800917250819E-2</v>
      </c>
    </row>
    <row r="16" spans="1:6" x14ac:dyDescent="0.2">
      <c r="A16" s="115">
        <v>3</v>
      </c>
      <c r="B16" s="116" t="s">
        <v>115</v>
      </c>
      <c r="C16" s="113">
        <v>1148213273</v>
      </c>
      <c r="D16" s="113">
        <v>1122842218</v>
      </c>
      <c r="E16" s="113">
        <f t="shared" si="0"/>
        <v>-25371055</v>
      </c>
      <c r="F16" s="114">
        <f t="shared" si="1"/>
        <v>-2.2096117155754217E-2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20042376</v>
      </c>
      <c r="D18" s="113">
        <v>39983192</v>
      </c>
      <c r="E18" s="113">
        <f t="shared" si="0"/>
        <v>19940816</v>
      </c>
      <c r="F18" s="114">
        <f t="shared" si="1"/>
        <v>0.99493273651786596</v>
      </c>
    </row>
    <row r="19" spans="1:6" x14ac:dyDescent="0.2">
      <c r="A19" s="115">
        <v>6</v>
      </c>
      <c r="B19" s="116" t="s">
        <v>118</v>
      </c>
      <c r="C19" s="113">
        <v>72460139</v>
      </c>
      <c r="D19" s="113">
        <v>68614315</v>
      </c>
      <c r="E19" s="113">
        <f t="shared" si="0"/>
        <v>-3845824</v>
      </c>
      <c r="F19" s="114">
        <f t="shared" si="1"/>
        <v>-5.3075029293002049E-2</v>
      </c>
    </row>
    <row r="20" spans="1:6" x14ac:dyDescent="0.2">
      <c r="A20" s="115">
        <v>7</v>
      </c>
      <c r="B20" s="116" t="s">
        <v>119</v>
      </c>
      <c r="C20" s="113">
        <v>1320566176</v>
      </c>
      <c r="D20" s="113">
        <v>1310721360</v>
      </c>
      <c r="E20" s="113">
        <f t="shared" si="0"/>
        <v>-9844816</v>
      </c>
      <c r="F20" s="114">
        <f t="shared" si="1"/>
        <v>-7.454996333330288E-3</v>
      </c>
    </row>
    <row r="21" spans="1:6" x14ac:dyDescent="0.2">
      <c r="A21" s="115">
        <v>8</v>
      </c>
      <c r="B21" s="116" t="s">
        <v>120</v>
      </c>
      <c r="C21" s="113">
        <v>21767078</v>
      </c>
      <c r="D21" s="113">
        <v>20199244</v>
      </c>
      <c r="E21" s="113">
        <f t="shared" si="0"/>
        <v>-1567834</v>
      </c>
      <c r="F21" s="114">
        <f t="shared" si="1"/>
        <v>-7.2027765968404212E-2</v>
      </c>
    </row>
    <row r="22" spans="1:6" x14ac:dyDescent="0.2">
      <c r="A22" s="115">
        <v>9</v>
      </c>
      <c r="B22" s="116" t="s">
        <v>121</v>
      </c>
      <c r="C22" s="113">
        <v>80469795</v>
      </c>
      <c r="D22" s="113">
        <v>95188396</v>
      </c>
      <c r="E22" s="113">
        <f t="shared" si="0"/>
        <v>14718601</v>
      </c>
      <c r="F22" s="114">
        <f t="shared" si="1"/>
        <v>0.18290839438574436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4627986391</v>
      </c>
      <c r="D25" s="119">
        <f>SUM(D14:D24)</f>
        <v>4646424246</v>
      </c>
      <c r="E25" s="119">
        <f t="shared" si="0"/>
        <v>18437855</v>
      </c>
      <c r="F25" s="120">
        <f t="shared" si="1"/>
        <v>3.983990755862186E-3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1235204835</v>
      </c>
      <c r="D27" s="113">
        <v>1282314513</v>
      </c>
      <c r="E27" s="113">
        <f t="shared" ref="E27:E38" si="2">D27-C27</f>
        <v>47109678</v>
      </c>
      <c r="F27" s="114">
        <f t="shared" ref="F27:F38" si="3">IF(C27=0,0,E27/C27)</f>
        <v>3.8139162562458723E-2</v>
      </c>
    </row>
    <row r="28" spans="1:6" x14ac:dyDescent="0.2">
      <c r="A28" s="115">
        <v>2</v>
      </c>
      <c r="B28" s="116" t="s">
        <v>114</v>
      </c>
      <c r="C28" s="113">
        <v>331198450</v>
      </c>
      <c r="D28" s="113">
        <v>374506082</v>
      </c>
      <c r="E28" s="113">
        <f t="shared" si="2"/>
        <v>43307632</v>
      </c>
      <c r="F28" s="114">
        <f t="shared" si="3"/>
        <v>0.13076037040632285</v>
      </c>
    </row>
    <row r="29" spans="1:6" x14ac:dyDescent="0.2">
      <c r="A29" s="115">
        <v>3</v>
      </c>
      <c r="B29" s="116" t="s">
        <v>115</v>
      </c>
      <c r="C29" s="113">
        <v>781303401</v>
      </c>
      <c r="D29" s="113">
        <v>804648783</v>
      </c>
      <c r="E29" s="113">
        <f t="shared" si="2"/>
        <v>23345382</v>
      </c>
      <c r="F29" s="114">
        <f t="shared" si="3"/>
        <v>2.9880046560811016E-2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19908475</v>
      </c>
      <c r="D31" s="113">
        <v>18820897</v>
      </c>
      <c r="E31" s="113">
        <f t="shared" si="2"/>
        <v>-1087578</v>
      </c>
      <c r="F31" s="114">
        <f t="shared" si="3"/>
        <v>-5.4628895482953868E-2</v>
      </c>
    </row>
    <row r="32" spans="1:6" x14ac:dyDescent="0.2">
      <c r="A32" s="115">
        <v>6</v>
      </c>
      <c r="B32" s="116" t="s">
        <v>118</v>
      </c>
      <c r="C32" s="113">
        <v>61400968</v>
      </c>
      <c r="D32" s="113">
        <v>77177112</v>
      </c>
      <c r="E32" s="113">
        <f t="shared" si="2"/>
        <v>15776144</v>
      </c>
      <c r="F32" s="114">
        <f t="shared" si="3"/>
        <v>0.25693640530227474</v>
      </c>
    </row>
    <row r="33" spans="1:6" x14ac:dyDescent="0.2">
      <c r="A33" s="115">
        <v>7</v>
      </c>
      <c r="B33" s="116" t="s">
        <v>119</v>
      </c>
      <c r="C33" s="113">
        <v>1552606620</v>
      </c>
      <c r="D33" s="113">
        <v>1562591676</v>
      </c>
      <c r="E33" s="113">
        <f t="shared" si="2"/>
        <v>9985056</v>
      </c>
      <c r="F33" s="114">
        <f t="shared" si="3"/>
        <v>6.4311563994233134E-3</v>
      </c>
    </row>
    <row r="34" spans="1:6" x14ac:dyDescent="0.2">
      <c r="A34" s="115">
        <v>8</v>
      </c>
      <c r="B34" s="116" t="s">
        <v>120</v>
      </c>
      <c r="C34" s="113">
        <v>16950801</v>
      </c>
      <c r="D34" s="113">
        <v>14394183</v>
      </c>
      <c r="E34" s="113">
        <f t="shared" si="2"/>
        <v>-2556618</v>
      </c>
      <c r="F34" s="114">
        <f t="shared" si="3"/>
        <v>-0.15082579283421474</v>
      </c>
    </row>
    <row r="35" spans="1:6" x14ac:dyDescent="0.2">
      <c r="A35" s="115">
        <v>9</v>
      </c>
      <c r="B35" s="116" t="s">
        <v>121</v>
      </c>
      <c r="C35" s="113">
        <v>96954852</v>
      </c>
      <c r="D35" s="113">
        <v>114562089</v>
      </c>
      <c r="E35" s="113">
        <f t="shared" si="2"/>
        <v>17607237</v>
      </c>
      <c r="F35" s="114">
        <f t="shared" si="3"/>
        <v>0.18160243285194227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4095528402</v>
      </c>
      <c r="D38" s="119">
        <f>SUM(D27:D37)</f>
        <v>4249015335</v>
      </c>
      <c r="E38" s="119">
        <f t="shared" si="2"/>
        <v>153486933</v>
      </c>
      <c r="F38" s="120">
        <f t="shared" si="3"/>
        <v>3.7476710679151093E-2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2735111997</v>
      </c>
      <c r="D41" s="119">
        <f t="shared" si="4"/>
        <v>2799891286</v>
      </c>
      <c r="E41" s="123">
        <f t="shared" ref="E41:E52" si="5">D41-C41</f>
        <v>64779289</v>
      </c>
      <c r="F41" s="124">
        <f t="shared" ref="F41:F52" si="6">IF(C41=0,0,E41/C41)</f>
        <v>2.36843277610032E-2</v>
      </c>
    </row>
    <row r="42" spans="1:6" ht="15.75" x14ac:dyDescent="0.25">
      <c r="A42" s="121">
        <v>2</v>
      </c>
      <c r="B42" s="122" t="s">
        <v>114</v>
      </c>
      <c r="C42" s="119">
        <f t="shared" si="4"/>
        <v>795758842</v>
      </c>
      <c r="D42" s="119">
        <f t="shared" si="4"/>
        <v>845804830</v>
      </c>
      <c r="E42" s="123">
        <f t="shared" si="5"/>
        <v>50045988</v>
      </c>
      <c r="F42" s="124">
        <f t="shared" si="6"/>
        <v>6.2890897792876807E-2</v>
      </c>
    </row>
    <row r="43" spans="1:6" ht="15.75" x14ac:dyDescent="0.25">
      <c r="A43" s="121">
        <v>3</v>
      </c>
      <c r="B43" s="122" t="s">
        <v>115</v>
      </c>
      <c r="C43" s="119">
        <f t="shared" si="4"/>
        <v>1929516674</v>
      </c>
      <c r="D43" s="119">
        <f t="shared" si="4"/>
        <v>1927491001</v>
      </c>
      <c r="E43" s="123">
        <f t="shared" si="5"/>
        <v>-2025673</v>
      </c>
      <c r="F43" s="124">
        <f t="shared" si="6"/>
        <v>-1.0498344105006681E-3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39950851</v>
      </c>
      <c r="D45" s="119">
        <f t="shared" si="4"/>
        <v>58804089</v>
      </c>
      <c r="E45" s="123">
        <f t="shared" si="5"/>
        <v>18853238</v>
      </c>
      <c r="F45" s="124">
        <f t="shared" si="6"/>
        <v>0.47191079859600488</v>
      </c>
    </row>
    <row r="46" spans="1:6" ht="15.75" x14ac:dyDescent="0.25">
      <c r="A46" s="121">
        <v>6</v>
      </c>
      <c r="B46" s="122" t="s">
        <v>118</v>
      </c>
      <c r="C46" s="119">
        <f t="shared" si="4"/>
        <v>133861107</v>
      </c>
      <c r="D46" s="119">
        <f t="shared" si="4"/>
        <v>145791427</v>
      </c>
      <c r="E46" s="123">
        <f t="shared" si="5"/>
        <v>11930320</v>
      </c>
      <c r="F46" s="124">
        <f t="shared" si="6"/>
        <v>8.9124617802540662E-2</v>
      </c>
    </row>
    <row r="47" spans="1:6" ht="15.75" x14ac:dyDescent="0.25">
      <c r="A47" s="121">
        <v>7</v>
      </c>
      <c r="B47" s="122" t="s">
        <v>119</v>
      </c>
      <c r="C47" s="119">
        <f t="shared" si="4"/>
        <v>2873172796</v>
      </c>
      <c r="D47" s="119">
        <f t="shared" si="4"/>
        <v>2873313036</v>
      </c>
      <c r="E47" s="123">
        <f t="shared" si="5"/>
        <v>140240</v>
      </c>
      <c r="F47" s="124">
        <f t="shared" si="6"/>
        <v>4.8810151688488981E-5</v>
      </c>
    </row>
    <row r="48" spans="1:6" ht="15.75" x14ac:dyDescent="0.25">
      <c r="A48" s="121">
        <v>8</v>
      </c>
      <c r="B48" s="122" t="s">
        <v>120</v>
      </c>
      <c r="C48" s="119">
        <f t="shared" si="4"/>
        <v>38717879</v>
      </c>
      <c r="D48" s="119">
        <f t="shared" si="4"/>
        <v>34593427</v>
      </c>
      <c r="E48" s="123">
        <f t="shared" si="5"/>
        <v>-4124452</v>
      </c>
      <c r="F48" s="124">
        <f t="shared" si="6"/>
        <v>-0.1065257732738924</v>
      </c>
    </row>
    <row r="49" spans="1:6" ht="15.75" x14ac:dyDescent="0.25">
      <c r="A49" s="121">
        <v>9</v>
      </c>
      <c r="B49" s="122" t="s">
        <v>121</v>
      </c>
      <c r="C49" s="119">
        <f t="shared" si="4"/>
        <v>177424647</v>
      </c>
      <c r="D49" s="119">
        <f t="shared" si="4"/>
        <v>209750485</v>
      </c>
      <c r="E49" s="123">
        <f t="shared" si="5"/>
        <v>32325838</v>
      </c>
      <c r="F49" s="124">
        <f t="shared" si="6"/>
        <v>0.18219474321400228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8723514793</v>
      </c>
      <c r="D52" s="128">
        <f>SUM(D41:D51)</f>
        <v>8895439581</v>
      </c>
      <c r="E52" s="127">
        <f t="shared" si="5"/>
        <v>171924788</v>
      </c>
      <c r="F52" s="129">
        <f t="shared" si="6"/>
        <v>1.9708201576955818E-2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464495952</v>
      </c>
      <c r="D57" s="113">
        <v>385124725</v>
      </c>
      <c r="E57" s="113">
        <f t="shared" ref="E57:E68" si="7">D57-C57</f>
        <v>-79371227</v>
      </c>
      <c r="F57" s="114">
        <f t="shared" ref="F57:F68" si="8">IF(C57=0,0,E57/C57)</f>
        <v>-0.17087603596597112</v>
      </c>
    </row>
    <row r="58" spans="1:6" x14ac:dyDescent="0.2">
      <c r="A58" s="115">
        <v>2</v>
      </c>
      <c r="B58" s="116" t="s">
        <v>114</v>
      </c>
      <c r="C58" s="113">
        <v>162931805</v>
      </c>
      <c r="D58" s="113">
        <v>139629151</v>
      </c>
      <c r="E58" s="113">
        <f t="shared" si="7"/>
        <v>-23302654</v>
      </c>
      <c r="F58" s="114">
        <f t="shared" si="8"/>
        <v>-0.14302090374558854</v>
      </c>
    </row>
    <row r="59" spans="1:6" x14ac:dyDescent="0.2">
      <c r="A59" s="115">
        <v>3</v>
      </c>
      <c r="B59" s="116" t="s">
        <v>115</v>
      </c>
      <c r="C59" s="113">
        <v>130960728</v>
      </c>
      <c r="D59" s="113">
        <v>164075205</v>
      </c>
      <c r="E59" s="113">
        <f t="shared" si="7"/>
        <v>33114477</v>
      </c>
      <c r="F59" s="114">
        <f t="shared" si="8"/>
        <v>0.25285807055073795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4483239</v>
      </c>
      <c r="D61" s="113">
        <v>20399400</v>
      </c>
      <c r="E61" s="113">
        <f t="shared" si="7"/>
        <v>15916161</v>
      </c>
      <c r="F61" s="114">
        <f t="shared" si="8"/>
        <v>3.5501477837786477</v>
      </c>
    </row>
    <row r="62" spans="1:6" x14ac:dyDescent="0.2">
      <c r="A62" s="115">
        <v>6</v>
      </c>
      <c r="B62" s="116" t="s">
        <v>118</v>
      </c>
      <c r="C62" s="113">
        <v>26378220</v>
      </c>
      <c r="D62" s="113">
        <v>24645565</v>
      </c>
      <c r="E62" s="113">
        <f t="shared" si="7"/>
        <v>-1732655</v>
      </c>
      <c r="F62" s="114">
        <f t="shared" si="8"/>
        <v>-6.5685061387766114E-2</v>
      </c>
    </row>
    <row r="63" spans="1:6" x14ac:dyDescent="0.2">
      <c r="A63" s="115">
        <v>7</v>
      </c>
      <c r="B63" s="116" t="s">
        <v>119</v>
      </c>
      <c r="C63" s="113">
        <v>617364859</v>
      </c>
      <c r="D63" s="113">
        <v>690920393</v>
      </c>
      <c r="E63" s="113">
        <f t="shared" si="7"/>
        <v>73555534</v>
      </c>
      <c r="F63" s="114">
        <f t="shared" si="8"/>
        <v>0.11914434864197543</v>
      </c>
    </row>
    <row r="64" spans="1:6" x14ac:dyDescent="0.2">
      <c r="A64" s="115">
        <v>8</v>
      </c>
      <c r="B64" s="116" t="s">
        <v>120</v>
      </c>
      <c r="C64" s="113">
        <v>12766549</v>
      </c>
      <c r="D64" s="113">
        <v>9654091</v>
      </c>
      <c r="E64" s="113">
        <f t="shared" si="7"/>
        <v>-3112458</v>
      </c>
      <c r="F64" s="114">
        <f t="shared" si="8"/>
        <v>-0.24379791281105018</v>
      </c>
    </row>
    <row r="65" spans="1:6" x14ac:dyDescent="0.2">
      <c r="A65" s="115">
        <v>9</v>
      </c>
      <c r="B65" s="116" t="s">
        <v>121</v>
      </c>
      <c r="C65" s="113">
        <v>27560241</v>
      </c>
      <c r="D65" s="113">
        <v>53901535</v>
      </c>
      <c r="E65" s="113">
        <f t="shared" si="7"/>
        <v>26341294</v>
      </c>
      <c r="F65" s="114">
        <f t="shared" si="8"/>
        <v>0.95577154060445257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1446941593</v>
      </c>
      <c r="D68" s="119">
        <f>SUM(D57:D67)</f>
        <v>1488350065</v>
      </c>
      <c r="E68" s="119">
        <f t="shared" si="7"/>
        <v>41408472</v>
      </c>
      <c r="F68" s="120">
        <f t="shared" si="8"/>
        <v>2.8617929155071293E-2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203459062</v>
      </c>
      <c r="D70" s="113">
        <v>219029304</v>
      </c>
      <c r="E70" s="113">
        <f t="shared" ref="E70:E81" si="9">D70-C70</f>
        <v>15570242</v>
      </c>
      <c r="F70" s="114">
        <f t="shared" ref="F70:F81" si="10">IF(C70=0,0,E70/C70)</f>
        <v>7.6527640730005925E-2</v>
      </c>
    </row>
    <row r="71" spans="1:6" x14ac:dyDescent="0.2">
      <c r="A71" s="115">
        <v>2</v>
      </c>
      <c r="B71" s="116" t="s">
        <v>114</v>
      </c>
      <c r="C71" s="113">
        <v>45337013</v>
      </c>
      <c r="D71" s="113">
        <v>56432028</v>
      </c>
      <c r="E71" s="113">
        <f t="shared" si="9"/>
        <v>11095015</v>
      </c>
      <c r="F71" s="114">
        <f t="shared" si="10"/>
        <v>0.24472311398194671</v>
      </c>
    </row>
    <row r="72" spans="1:6" x14ac:dyDescent="0.2">
      <c r="A72" s="115">
        <v>3</v>
      </c>
      <c r="B72" s="116" t="s">
        <v>115</v>
      </c>
      <c r="C72" s="113">
        <v>119432312</v>
      </c>
      <c r="D72" s="113">
        <v>102185971</v>
      </c>
      <c r="E72" s="113">
        <f t="shared" si="9"/>
        <v>-17246341</v>
      </c>
      <c r="F72" s="114">
        <f t="shared" si="10"/>
        <v>-0.14440263870969861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1519605</v>
      </c>
      <c r="D74" s="113">
        <v>5383617</v>
      </c>
      <c r="E74" s="113">
        <f t="shared" si="9"/>
        <v>3864012</v>
      </c>
      <c r="F74" s="114">
        <f t="shared" si="10"/>
        <v>2.5427739445447997</v>
      </c>
    </row>
    <row r="75" spans="1:6" x14ac:dyDescent="0.2">
      <c r="A75" s="115">
        <v>6</v>
      </c>
      <c r="B75" s="116" t="s">
        <v>118</v>
      </c>
      <c r="C75" s="113">
        <v>26587428</v>
      </c>
      <c r="D75" s="113">
        <v>38473544</v>
      </c>
      <c r="E75" s="113">
        <f t="shared" si="9"/>
        <v>11886116</v>
      </c>
      <c r="F75" s="114">
        <f t="shared" si="10"/>
        <v>0.44705775978029916</v>
      </c>
    </row>
    <row r="76" spans="1:6" x14ac:dyDescent="0.2">
      <c r="A76" s="115">
        <v>7</v>
      </c>
      <c r="B76" s="116" t="s">
        <v>119</v>
      </c>
      <c r="C76" s="113">
        <v>695914393</v>
      </c>
      <c r="D76" s="113">
        <v>700845205</v>
      </c>
      <c r="E76" s="113">
        <f t="shared" si="9"/>
        <v>4930812</v>
      </c>
      <c r="F76" s="114">
        <f t="shared" si="10"/>
        <v>7.0853714905132013E-3</v>
      </c>
    </row>
    <row r="77" spans="1:6" x14ac:dyDescent="0.2">
      <c r="A77" s="115">
        <v>8</v>
      </c>
      <c r="B77" s="116" t="s">
        <v>120</v>
      </c>
      <c r="C77" s="113">
        <v>3693167</v>
      </c>
      <c r="D77" s="113">
        <v>4534484</v>
      </c>
      <c r="E77" s="113">
        <f t="shared" si="9"/>
        <v>841317</v>
      </c>
      <c r="F77" s="114">
        <f t="shared" si="10"/>
        <v>0.22780367094149817</v>
      </c>
    </row>
    <row r="78" spans="1:6" x14ac:dyDescent="0.2">
      <c r="A78" s="115">
        <v>9</v>
      </c>
      <c r="B78" s="116" t="s">
        <v>121</v>
      </c>
      <c r="C78" s="113">
        <v>12752235</v>
      </c>
      <c r="D78" s="113">
        <v>49306839</v>
      </c>
      <c r="E78" s="113">
        <f t="shared" si="9"/>
        <v>36554604</v>
      </c>
      <c r="F78" s="114">
        <f t="shared" si="10"/>
        <v>2.8665252796862668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1108695215</v>
      </c>
      <c r="D81" s="119">
        <f>SUM(D70:D80)</f>
        <v>1176190992</v>
      </c>
      <c r="E81" s="119">
        <f t="shared" si="9"/>
        <v>67495777</v>
      </c>
      <c r="F81" s="120">
        <f t="shared" si="10"/>
        <v>6.087856796603925E-2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667955014</v>
      </c>
      <c r="D84" s="119">
        <f t="shared" si="11"/>
        <v>604154029</v>
      </c>
      <c r="E84" s="119">
        <f t="shared" ref="E84:E95" si="12">D84-C84</f>
        <v>-63800985</v>
      </c>
      <c r="F84" s="120">
        <f t="shared" ref="F84:F95" si="13">IF(C84=0,0,E84/C84)</f>
        <v>-9.5516889105948077E-2</v>
      </c>
    </row>
    <row r="85" spans="1:6" ht="15.75" x14ac:dyDescent="0.25">
      <c r="A85" s="130">
        <v>2</v>
      </c>
      <c r="B85" s="122" t="s">
        <v>114</v>
      </c>
      <c r="C85" s="119">
        <f t="shared" si="11"/>
        <v>208268818</v>
      </c>
      <c r="D85" s="119">
        <f t="shared" si="11"/>
        <v>196061179</v>
      </c>
      <c r="E85" s="119">
        <f t="shared" si="12"/>
        <v>-12207639</v>
      </c>
      <c r="F85" s="120">
        <f t="shared" si="13"/>
        <v>-5.8614818661908381E-2</v>
      </c>
    </row>
    <row r="86" spans="1:6" ht="15.75" x14ac:dyDescent="0.25">
      <c r="A86" s="130">
        <v>3</v>
      </c>
      <c r="B86" s="122" t="s">
        <v>115</v>
      </c>
      <c r="C86" s="119">
        <f t="shared" si="11"/>
        <v>250393040</v>
      </c>
      <c r="D86" s="119">
        <f t="shared" si="11"/>
        <v>266261176</v>
      </c>
      <c r="E86" s="119">
        <f t="shared" si="12"/>
        <v>15868136</v>
      </c>
      <c r="F86" s="120">
        <f t="shared" si="13"/>
        <v>6.3372911643230972E-2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6002844</v>
      </c>
      <c r="D88" s="119">
        <f t="shared" si="11"/>
        <v>25783017</v>
      </c>
      <c r="E88" s="119">
        <f t="shared" si="12"/>
        <v>19780173</v>
      </c>
      <c r="F88" s="120">
        <f t="shared" si="13"/>
        <v>3.2951336066704382</v>
      </c>
    </row>
    <row r="89" spans="1:6" ht="15.75" x14ac:dyDescent="0.25">
      <c r="A89" s="130">
        <v>6</v>
      </c>
      <c r="B89" s="122" t="s">
        <v>118</v>
      </c>
      <c r="C89" s="119">
        <f t="shared" si="11"/>
        <v>52965648</v>
      </c>
      <c r="D89" s="119">
        <f t="shared" si="11"/>
        <v>63119109</v>
      </c>
      <c r="E89" s="119">
        <f t="shared" si="12"/>
        <v>10153461</v>
      </c>
      <c r="F89" s="120">
        <f t="shared" si="13"/>
        <v>0.19169898572750399</v>
      </c>
    </row>
    <row r="90" spans="1:6" ht="15.75" x14ac:dyDescent="0.25">
      <c r="A90" s="130">
        <v>7</v>
      </c>
      <c r="B90" s="122" t="s">
        <v>119</v>
      </c>
      <c r="C90" s="119">
        <f t="shared" si="11"/>
        <v>1313279252</v>
      </c>
      <c r="D90" s="119">
        <f t="shared" si="11"/>
        <v>1391765598</v>
      </c>
      <c r="E90" s="119">
        <f t="shared" si="12"/>
        <v>78486346</v>
      </c>
      <c r="F90" s="120">
        <f t="shared" si="13"/>
        <v>5.9763638145103354E-2</v>
      </c>
    </row>
    <row r="91" spans="1:6" ht="15.75" x14ac:dyDescent="0.25">
      <c r="A91" s="130">
        <v>8</v>
      </c>
      <c r="B91" s="122" t="s">
        <v>120</v>
      </c>
      <c r="C91" s="119">
        <f t="shared" si="11"/>
        <v>16459716</v>
      </c>
      <c r="D91" s="119">
        <f t="shared" si="11"/>
        <v>14188575</v>
      </c>
      <c r="E91" s="119">
        <f t="shared" si="12"/>
        <v>-2271141</v>
      </c>
      <c r="F91" s="120">
        <f t="shared" si="13"/>
        <v>-0.13798178534793673</v>
      </c>
    </row>
    <row r="92" spans="1:6" ht="15.75" x14ac:dyDescent="0.25">
      <c r="A92" s="130">
        <v>9</v>
      </c>
      <c r="B92" s="122" t="s">
        <v>121</v>
      </c>
      <c r="C92" s="119">
        <f t="shared" si="11"/>
        <v>40312476</v>
      </c>
      <c r="D92" s="119">
        <f t="shared" si="11"/>
        <v>103208374</v>
      </c>
      <c r="E92" s="119">
        <f t="shared" si="12"/>
        <v>62895898</v>
      </c>
      <c r="F92" s="120">
        <f t="shared" si="13"/>
        <v>1.5602092513493837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2555636808</v>
      </c>
      <c r="D95" s="128">
        <f>SUM(D84:D94)</f>
        <v>2664541057</v>
      </c>
      <c r="E95" s="128">
        <f t="shared" si="12"/>
        <v>108904249</v>
      </c>
      <c r="F95" s="129">
        <f t="shared" si="13"/>
        <v>4.2613351263017185E-2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21223</v>
      </c>
      <c r="D100" s="133">
        <v>21305</v>
      </c>
      <c r="E100" s="133">
        <f t="shared" ref="E100:E111" si="14">D100-C100</f>
        <v>82</v>
      </c>
      <c r="F100" s="114">
        <f t="shared" ref="F100:F111" si="15">IF(C100=0,0,E100/C100)</f>
        <v>3.8637327427790604E-3</v>
      </c>
    </row>
    <row r="101" spans="1:6" x14ac:dyDescent="0.2">
      <c r="A101" s="115">
        <v>2</v>
      </c>
      <c r="B101" s="116" t="s">
        <v>114</v>
      </c>
      <c r="C101" s="133">
        <v>6856</v>
      </c>
      <c r="D101" s="133">
        <v>7343</v>
      </c>
      <c r="E101" s="133">
        <f t="shared" si="14"/>
        <v>487</v>
      </c>
      <c r="F101" s="114">
        <f t="shared" si="15"/>
        <v>7.1032672112018663E-2</v>
      </c>
    </row>
    <row r="102" spans="1:6" x14ac:dyDescent="0.2">
      <c r="A102" s="115">
        <v>3</v>
      </c>
      <c r="B102" s="116" t="s">
        <v>115</v>
      </c>
      <c r="C102" s="133">
        <v>22248</v>
      </c>
      <c r="D102" s="133">
        <v>22682</v>
      </c>
      <c r="E102" s="133">
        <f t="shared" si="14"/>
        <v>434</v>
      </c>
      <c r="F102" s="114">
        <f t="shared" si="15"/>
        <v>1.9507371449119022E-2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413</v>
      </c>
      <c r="D104" s="133">
        <v>608</v>
      </c>
      <c r="E104" s="133">
        <f t="shared" si="14"/>
        <v>195</v>
      </c>
      <c r="F104" s="114">
        <f t="shared" si="15"/>
        <v>0.4721549636803874</v>
      </c>
    </row>
    <row r="105" spans="1:6" x14ac:dyDescent="0.2">
      <c r="A105" s="115">
        <v>6</v>
      </c>
      <c r="B105" s="116" t="s">
        <v>118</v>
      </c>
      <c r="C105" s="133">
        <v>1192</v>
      </c>
      <c r="D105" s="133">
        <v>1297</v>
      </c>
      <c r="E105" s="133">
        <f t="shared" si="14"/>
        <v>105</v>
      </c>
      <c r="F105" s="114">
        <f t="shared" si="15"/>
        <v>8.8087248322147649E-2</v>
      </c>
    </row>
    <row r="106" spans="1:6" x14ac:dyDescent="0.2">
      <c r="A106" s="115">
        <v>7</v>
      </c>
      <c r="B106" s="116" t="s">
        <v>119</v>
      </c>
      <c r="C106" s="133">
        <v>24831</v>
      </c>
      <c r="D106" s="133">
        <v>24499</v>
      </c>
      <c r="E106" s="133">
        <f t="shared" si="14"/>
        <v>-332</v>
      </c>
      <c r="F106" s="114">
        <f t="shared" si="15"/>
        <v>-1.3370383794450486E-2</v>
      </c>
    </row>
    <row r="107" spans="1:6" x14ac:dyDescent="0.2">
      <c r="A107" s="115">
        <v>8</v>
      </c>
      <c r="B107" s="116" t="s">
        <v>120</v>
      </c>
      <c r="C107" s="133">
        <v>350</v>
      </c>
      <c r="D107" s="133">
        <v>299</v>
      </c>
      <c r="E107" s="133">
        <f t="shared" si="14"/>
        <v>-51</v>
      </c>
      <c r="F107" s="114">
        <f t="shared" si="15"/>
        <v>-0.14571428571428571</v>
      </c>
    </row>
    <row r="108" spans="1:6" x14ac:dyDescent="0.2">
      <c r="A108" s="115">
        <v>9</v>
      </c>
      <c r="B108" s="116" t="s">
        <v>121</v>
      </c>
      <c r="C108" s="133">
        <v>1339</v>
      </c>
      <c r="D108" s="133">
        <v>1457</v>
      </c>
      <c r="E108" s="133">
        <f t="shared" si="14"/>
        <v>118</v>
      </c>
      <c r="F108" s="114">
        <f t="shared" si="15"/>
        <v>8.8125466766243471E-2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78452</v>
      </c>
      <c r="D111" s="134">
        <f>SUM(D100:D110)</f>
        <v>79490</v>
      </c>
      <c r="E111" s="134">
        <f t="shared" si="14"/>
        <v>1038</v>
      </c>
      <c r="F111" s="120">
        <f t="shared" si="15"/>
        <v>1.3231020241676439E-2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137542</v>
      </c>
      <c r="D113" s="133">
        <v>143989</v>
      </c>
      <c r="E113" s="133">
        <f t="shared" ref="E113:E124" si="16">D113-C113</f>
        <v>6447</v>
      </c>
      <c r="F113" s="114">
        <f t="shared" ref="F113:F124" si="17">IF(C113=0,0,E113/C113)</f>
        <v>4.6872955170057143E-2</v>
      </c>
    </row>
    <row r="114" spans="1:6" x14ac:dyDescent="0.2">
      <c r="A114" s="115">
        <v>2</v>
      </c>
      <c r="B114" s="116" t="s">
        <v>114</v>
      </c>
      <c r="C114" s="133">
        <v>42267</v>
      </c>
      <c r="D114" s="133">
        <v>43370</v>
      </c>
      <c r="E114" s="133">
        <f t="shared" si="16"/>
        <v>1103</v>
      </c>
      <c r="F114" s="114">
        <f t="shared" si="17"/>
        <v>2.6096008706555943E-2</v>
      </c>
    </row>
    <row r="115" spans="1:6" x14ac:dyDescent="0.2">
      <c r="A115" s="115">
        <v>3</v>
      </c>
      <c r="B115" s="116" t="s">
        <v>115</v>
      </c>
      <c r="C115" s="133">
        <v>122293</v>
      </c>
      <c r="D115" s="133">
        <v>124601</v>
      </c>
      <c r="E115" s="133">
        <f t="shared" si="16"/>
        <v>2308</v>
      </c>
      <c r="F115" s="114">
        <f t="shared" si="17"/>
        <v>1.8872707350379825E-2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1577</v>
      </c>
      <c r="D117" s="133">
        <v>2595</v>
      </c>
      <c r="E117" s="133">
        <f t="shared" si="16"/>
        <v>1018</v>
      </c>
      <c r="F117" s="114">
        <f t="shared" si="17"/>
        <v>0.64552948636651875</v>
      </c>
    </row>
    <row r="118" spans="1:6" x14ac:dyDescent="0.2">
      <c r="A118" s="115">
        <v>6</v>
      </c>
      <c r="B118" s="116" t="s">
        <v>118</v>
      </c>
      <c r="C118" s="133">
        <v>5739</v>
      </c>
      <c r="D118" s="133">
        <v>5320</v>
      </c>
      <c r="E118" s="133">
        <f t="shared" si="16"/>
        <v>-419</v>
      </c>
      <c r="F118" s="114">
        <f t="shared" si="17"/>
        <v>-7.3009235058372535E-2</v>
      </c>
    </row>
    <row r="119" spans="1:6" x14ac:dyDescent="0.2">
      <c r="A119" s="115">
        <v>7</v>
      </c>
      <c r="B119" s="116" t="s">
        <v>119</v>
      </c>
      <c r="C119" s="133">
        <v>111318</v>
      </c>
      <c r="D119" s="133">
        <v>110583</v>
      </c>
      <c r="E119" s="133">
        <f t="shared" si="16"/>
        <v>-735</v>
      </c>
      <c r="F119" s="114">
        <f t="shared" si="17"/>
        <v>-6.6027057618713953E-3</v>
      </c>
    </row>
    <row r="120" spans="1:6" x14ac:dyDescent="0.2">
      <c r="A120" s="115">
        <v>8</v>
      </c>
      <c r="B120" s="116" t="s">
        <v>120</v>
      </c>
      <c r="C120" s="133">
        <v>1378</v>
      </c>
      <c r="D120" s="133">
        <v>1198</v>
      </c>
      <c r="E120" s="133">
        <f t="shared" si="16"/>
        <v>-180</v>
      </c>
      <c r="F120" s="114">
        <f t="shared" si="17"/>
        <v>-0.13062409288824384</v>
      </c>
    </row>
    <row r="121" spans="1:6" x14ac:dyDescent="0.2">
      <c r="A121" s="115">
        <v>9</v>
      </c>
      <c r="B121" s="116" t="s">
        <v>121</v>
      </c>
      <c r="C121" s="133">
        <v>6526</v>
      </c>
      <c r="D121" s="133">
        <v>5918</v>
      </c>
      <c r="E121" s="133">
        <f t="shared" si="16"/>
        <v>-608</v>
      </c>
      <c r="F121" s="114">
        <f t="shared" si="17"/>
        <v>-9.3165798345081208E-2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428640</v>
      </c>
      <c r="D124" s="134">
        <f>SUM(D113:D123)</f>
        <v>437574</v>
      </c>
      <c r="E124" s="134">
        <f t="shared" si="16"/>
        <v>8934</v>
      </c>
      <c r="F124" s="120">
        <f t="shared" si="17"/>
        <v>2.0842665173572229E-2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295736</v>
      </c>
      <c r="D126" s="133">
        <v>317245</v>
      </c>
      <c r="E126" s="133">
        <f t="shared" ref="E126:E137" si="18">D126-C126</f>
        <v>21509</v>
      </c>
      <c r="F126" s="114">
        <f t="shared" ref="F126:F137" si="19">IF(C126=0,0,E126/C126)</f>
        <v>7.2730408201909805E-2</v>
      </c>
    </row>
    <row r="127" spans="1:6" x14ac:dyDescent="0.2">
      <c r="A127" s="115">
        <v>2</v>
      </c>
      <c r="B127" s="116" t="s">
        <v>114</v>
      </c>
      <c r="C127" s="133">
        <v>89458</v>
      </c>
      <c r="D127" s="133">
        <v>97646</v>
      </c>
      <c r="E127" s="133">
        <f t="shared" si="18"/>
        <v>8188</v>
      </c>
      <c r="F127" s="114">
        <f t="shared" si="19"/>
        <v>9.1528985669252605E-2</v>
      </c>
    </row>
    <row r="128" spans="1:6" x14ac:dyDescent="0.2">
      <c r="A128" s="115">
        <v>3</v>
      </c>
      <c r="B128" s="116" t="s">
        <v>115</v>
      </c>
      <c r="C128" s="133">
        <v>345834</v>
      </c>
      <c r="D128" s="133">
        <v>352128</v>
      </c>
      <c r="E128" s="133">
        <f t="shared" si="18"/>
        <v>6294</v>
      </c>
      <c r="F128" s="114">
        <f t="shared" si="19"/>
        <v>1.8199482988948454E-2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5688</v>
      </c>
      <c r="D130" s="133">
        <v>6133</v>
      </c>
      <c r="E130" s="133">
        <f t="shared" si="18"/>
        <v>445</v>
      </c>
      <c r="F130" s="114">
        <f t="shared" si="19"/>
        <v>7.8234880450070321E-2</v>
      </c>
    </row>
    <row r="131" spans="1:6" x14ac:dyDescent="0.2">
      <c r="A131" s="115">
        <v>6</v>
      </c>
      <c r="B131" s="116" t="s">
        <v>118</v>
      </c>
      <c r="C131" s="133">
        <v>18255</v>
      </c>
      <c r="D131" s="133">
        <v>19630</v>
      </c>
      <c r="E131" s="133">
        <f t="shared" si="18"/>
        <v>1375</v>
      </c>
      <c r="F131" s="114">
        <f t="shared" si="19"/>
        <v>7.5321829635716236E-2</v>
      </c>
    </row>
    <row r="132" spans="1:6" x14ac:dyDescent="0.2">
      <c r="A132" s="115">
        <v>7</v>
      </c>
      <c r="B132" s="116" t="s">
        <v>119</v>
      </c>
      <c r="C132" s="133">
        <v>483563</v>
      </c>
      <c r="D132" s="133">
        <v>494184</v>
      </c>
      <c r="E132" s="133">
        <f t="shared" si="18"/>
        <v>10621</v>
      </c>
      <c r="F132" s="114">
        <f t="shared" si="19"/>
        <v>2.1964046049842523E-2</v>
      </c>
    </row>
    <row r="133" spans="1:6" x14ac:dyDescent="0.2">
      <c r="A133" s="115">
        <v>8</v>
      </c>
      <c r="B133" s="116" t="s">
        <v>120</v>
      </c>
      <c r="C133" s="133">
        <v>6912</v>
      </c>
      <c r="D133" s="133">
        <v>6296</v>
      </c>
      <c r="E133" s="133">
        <f t="shared" si="18"/>
        <v>-616</v>
      </c>
      <c r="F133" s="114">
        <f t="shared" si="19"/>
        <v>-8.9120370370370364E-2</v>
      </c>
    </row>
    <row r="134" spans="1:6" x14ac:dyDescent="0.2">
      <c r="A134" s="115">
        <v>9</v>
      </c>
      <c r="B134" s="116" t="s">
        <v>121</v>
      </c>
      <c r="C134" s="133">
        <v>37093</v>
      </c>
      <c r="D134" s="133">
        <v>42749</v>
      </c>
      <c r="E134" s="133">
        <f t="shared" si="18"/>
        <v>5656</v>
      </c>
      <c r="F134" s="114">
        <f t="shared" si="19"/>
        <v>0.15248160030194377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1282539</v>
      </c>
      <c r="D137" s="134">
        <f>SUM(D126:D136)</f>
        <v>1336011</v>
      </c>
      <c r="E137" s="134">
        <f t="shared" si="18"/>
        <v>53472</v>
      </c>
      <c r="F137" s="120">
        <f t="shared" si="19"/>
        <v>4.1692299415456373E-2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191530673</v>
      </c>
      <c r="D142" s="113">
        <v>189344215</v>
      </c>
      <c r="E142" s="113">
        <f t="shared" ref="E142:E153" si="20">D142-C142</f>
        <v>-2186458</v>
      </c>
      <c r="F142" s="114">
        <f t="shared" ref="F142:F153" si="21">IF(C142=0,0,E142/C142)</f>
        <v>-1.1415706767761423E-2</v>
      </c>
    </row>
    <row r="143" spans="1:6" x14ac:dyDescent="0.2">
      <c r="A143" s="115">
        <v>2</v>
      </c>
      <c r="B143" s="116" t="s">
        <v>114</v>
      </c>
      <c r="C143" s="113">
        <v>44369954</v>
      </c>
      <c r="D143" s="113">
        <v>44870972</v>
      </c>
      <c r="E143" s="113">
        <f t="shared" si="20"/>
        <v>501018</v>
      </c>
      <c r="F143" s="114">
        <f t="shared" si="21"/>
        <v>1.1291830503137326E-2</v>
      </c>
    </row>
    <row r="144" spans="1:6" x14ac:dyDescent="0.2">
      <c r="A144" s="115">
        <v>3</v>
      </c>
      <c r="B144" s="116" t="s">
        <v>115</v>
      </c>
      <c r="C144" s="113">
        <v>230323184</v>
      </c>
      <c r="D144" s="113">
        <v>232310807</v>
      </c>
      <c r="E144" s="113">
        <f t="shared" si="20"/>
        <v>1987623</v>
      </c>
      <c r="F144" s="114">
        <f t="shared" si="21"/>
        <v>8.6297131078215735E-3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1306114</v>
      </c>
      <c r="D146" s="113">
        <v>1294925</v>
      </c>
      <c r="E146" s="113">
        <f t="shared" si="20"/>
        <v>-11189</v>
      </c>
      <c r="F146" s="114">
        <f t="shared" si="21"/>
        <v>-8.566633540410715E-3</v>
      </c>
    </row>
    <row r="147" spans="1:6" x14ac:dyDescent="0.2">
      <c r="A147" s="115">
        <v>6</v>
      </c>
      <c r="B147" s="116" t="s">
        <v>118</v>
      </c>
      <c r="C147" s="113">
        <v>9664282</v>
      </c>
      <c r="D147" s="113">
        <v>9569139</v>
      </c>
      <c r="E147" s="113">
        <f t="shared" si="20"/>
        <v>-95143</v>
      </c>
      <c r="F147" s="114">
        <f t="shared" si="21"/>
        <v>-9.8448079226164959E-3</v>
      </c>
    </row>
    <row r="148" spans="1:6" x14ac:dyDescent="0.2">
      <c r="A148" s="115">
        <v>7</v>
      </c>
      <c r="B148" s="116" t="s">
        <v>119</v>
      </c>
      <c r="C148" s="113">
        <v>155134852</v>
      </c>
      <c r="D148" s="113">
        <v>156009374</v>
      </c>
      <c r="E148" s="113">
        <f t="shared" si="20"/>
        <v>874522</v>
      </c>
      <c r="F148" s="114">
        <f t="shared" si="21"/>
        <v>5.637173006101814E-3</v>
      </c>
    </row>
    <row r="149" spans="1:6" x14ac:dyDescent="0.2">
      <c r="A149" s="115">
        <v>8</v>
      </c>
      <c r="B149" s="116" t="s">
        <v>120</v>
      </c>
      <c r="C149" s="113">
        <v>5104658</v>
      </c>
      <c r="D149" s="113">
        <v>5203527</v>
      </c>
      <c r="E149" s="113">
        <f t="shared" si="20"/>
        <v>98869</v>
      </c>
      <c r="F149" s="114">
        <f t="shared" si="21"/>
        <v>1.9368388636417953E-2</v>
      </c>
    </row>
    <row r="150" spans="1:6" x14ac:dyDescent="0.2">
      <c r="A150" s="115">
        <v>9</v>
      </c>
      <c r="B150" s="116" t="s">
        <v>121</v>
      </c>
      <c r="C150" s="113">
        <v>31040128</v>
      </c>
      <c r="D150" s="113">
        <v>30166885</v>
      </c>
      <c r="E150" s="113">
        <f t="shared" si="20"/>
        <v>-873243</v>
      </c>
      <c r="F150" s="114">
        <f t="shared" si="21"/>
        <v>-2.8132712597061457E-2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668473845</v>
      </c>
      <c r="D153" s="119">
        <f>SUM(D142:D152)</f>
        <v>668769844</v>
      </c>
      <c r="E153" s="119">
        <f t="shared" si="20"/>
        <v>295999</v>
      </c>
      <c r="F153" s="120">
        <f t="shared" si="21"/>
        <v>4.4279817709247848E-4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23362857</v>
      </c>
      <c r="D155" s="113">
        <v>22805316</v>
      </c>
      <c r="E155" s="113">
        <f t="shared" ref="E155:E166" si="22">D155-C155</f>
        <v>-557541</v>
      </c>
      <c r="F155" s="114">
        <f t="shared" ref="F155:F166" si="23">IF(C155=0,0,E155/C155)</f>
        <v>-2.3864418636813125E-2</v>
      </c>
    </row>
    <row r="156" spans="1:6" x14ac:dyDescent="0.2">
      <c r="A156" s="115">
        <v>2</v>
      </c>
      <c r="B156" s="116" t="s">
        <v>114</v>
      </c>
      <c r="C156" s="113">
        <v>4582398</v>
      </c>
      <c r="D156" s="113">
        <v>4609023</v>
      </c>
      <c r="E156" s="113">
        <f t="shared" si="22"/>
        <v>26625</v>
      </c>
      <c r="F156" s="114">
        <f t="shared" si="23"/>
        <v>5.810276628088612E-3</v>
      </c>
    </row>
    <row r="157" spans="1:6" x14ac:dyDescent="0.2">
      <c r="A157" s="115">
        <v>3</v>
      </c>
      <c r="B157" s="116" t="s">
        <v>115</v>
      </c>
      <c r="C157" s="113">
        <v>31982214</v>
      </c>
      <c r="D157" s="113">
        <v>32230070</v>
      </c>
      <c r="E157" s="113">
        <f t="shared" si="22"/>
        <v>247856</v>
      </c>
      <c r="F157" s="114">
        <f t="shared" si="23"/>
        <v>7.7498074398476601E-3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157937</v>
      </c>
      <c r="D159" s="113">
        <v>206695</v>
      </c>
      <c r="E159" s="113">
        <f t="shared" si="22"/>
        <v>48758</v>
      </c>
      <c r="F159" s="114">
        <f t="shared" si="23"/>
        <v>0.30871803313979623</v>
      </c>
    </row>
    <row r="160" spans="1:6" x14ac:dyDescent="0.2">
      <c r="A160" s="115">
        <v>6</v>
      </c>
      <c r="B160" s="116" t="s">
        <v>118</v>
      </c>
      <c r="C160" s="113">
        <v>5035718</v>
      </c>
      <c r="D160" s="113">
        <v>4837692</v>
      </c>
      <c r="E160" s="113">
        <f t="shared" si="22"/>
        <v>-198026</v>
      </c>
      <c r="F160" s="114">
        <f t="shared" si="23"/>
        <v>-3.9324283051592641E-2</v>
      </c>
    </row>
    <row r="161" spans="1:6" x14ac:dyDescent="0.2">
      <c r="A161" s="115">
        <v>7</v>
      </c>
      <c r="B161" s="116" t="s">
        <v>119</v>
      </c>
      <c r="C161" s="113">
        <v>63783162</v>
      </c>
      <c r="D161" s="113">
        <v>63990047</v>
      </c>
      <c r="E161" s="113">
        <f t="shared" si="22"/>
        <v>206885</v>
      </c>
      <c r="F161" s="114">
        <f t="shared" si="23"/>
        <v>3.2435676362360336E-3</v>
      </c>
    </row>
    <row r="162" spans="1:6" x14ac:dyDescent="0.2">
      <c r="A162" s="115">
        <v>8</v>
      </c>
      <c r="B162" s="116" t="s">
        <v>120</v>
      </c>
      <c r="C162" s="113">
        <v>1737741</v>
      </c>
      <c r="D162" s="113">
        <v>2373348</v>
      </c>
      <c r="E162" s="113">
        <f t="shared" si="22"/>
        <v>635607</v>
      </c>
      <c r="F162" s="114">
        <f t="shared" si="23"/>
        <v>0.36576624479712455</v>
      </c>
    </row>
    <row r="163" spans="1:6" x14ac:dyDescent="0.2">
      <c r="A163" s="115">
        <v>9</v>
      </c>
      <c r="B163" s="116" t="s">
        <v>121</v>
      </c>
      <c r="C163" s="113">
        <v>1926426</v>
      </c>
      <c r="D163" s="113">
        <v>2387888</v>
      </c>
      <c r="E163" s="113">
        <f t="shared" si="22"/>
        <v>461462</v>
      </c>
      <c r="F163" s="114">
        <f t="shared" si="23"/>
        <v>0.23954307095107727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132568453</v>
      </c>
      <c r="D166" s="119">
        <f>SUM(D155:D165)</f>
        <v>133440079</v>
      </c>
      <c r="E166" s="119">
        <f t="shared" si="22"/>
        <v>871626</v>
      </c>
      <c r="F166" s="120">
        <f t="shared" si="23"/>
        <v>6.5749126604049603E-3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21157</v>
      </c>
      <c r="D168" s="133">
        <v>21108</v>
      </c>
      <c r="E168" s="133">
        <f t="shared" ref="E168:E179" si="24">D168-C168</f>
        <v>-49</v>
      </c>
      <c r="F168" s="114">
        <f t="shared" ref="F168:F179" si="25">IF(C168=0,0,E168/C168)</f>
        <v>-2.3160183390839909E-3</v>
      </c>
    </row>
    <row r="169" spans="1:6" x14ac:dyDescent="0.2">
      <c r="A169" s="115">
        <v>2</v>
      </c>
      <c r="B169" s="116" t="s">
        <v>114</v>
      </c>
      <c r="C169" s="133">
        <v>6537</v>
      </c>
      <c r="D169" s="133">
        <v>6567</v>
      </c>
      <c r="E169" s="133">
        <f t="shared" si="24"/>
        <v>30</v>
      </c>
      <c r="F169" s="114">
        <f t="shared" si="25"/>
        <v>4.589261128958238E-3</v>
      </c>
    </row>
    <row r="170" spans="1:6" x14ac:dyDescent="0.2">
      <c r="A170" s="115">
        <v>3</v>
      </c>
      <c r="B170" s="116" t="s">
        <v>115</v>
      </c>
      <c r="C170" s="133">
        <v>72873</v>
      </c>
      <c r="D170" s="133">
        <v>73053</v>
      </c>
      <c r="E170" s="133">
        <f t="shared" si="24"/>
        <v>180</v>
      </c>
      <c r="F170" s="114">
        <f t="shared" si="25"/>
        <v>2.4700506360380388E-3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432</v>
      </c>
      <c r="D172" s="133">
        <v>430</v>
      </c>
      <c r="E172" s="133">
        <f t="shared" si="24"/>
        <v>-2</v>
      </c>
      <c r="F172" s="114">
        <f t="shared" si="25"/>
        <v>-4.6296296296296294E-3</v>
      </c>
    </row>
    <row r="173" spans="1:6" x14ac:dyDescent="0.2">
      <c r="A173" s="115">
        <v>6</v>
      </c>
      <c r="B173" s="116" t="s">
        <v>118</v>
      </c>
      <c r="C173" s="133">
        <v>2555</v>
      </c>
      <c r="D173" s="133">
        <v>2556</v>
      </c>
      <c r="E173" s="133">
        <f t="shared" si="24"/>
        <v>1</v>
      </c>
      <c r="F173" s="114">
        <f t="shared" si="25"/>
        <v>3.9138943248532291E-4</v>
      </c>
    </row>
    <row r="174" spans="1:6" x14ac:dyDescent="0.2">
      <c r="A174" s="115">
        <v>7</v>
      </c>
      <c r="B174" s="116" t="s">
        <v>119</v>
      </c>
      <c r="C174" s="133">
        <v>38581</v>
      </c>
      <c r="D174" s="133">
        <v>38723</v>
      </c>
      <c r="E174" s="133">
        <f t="shared" si="24"/>
        <v>142</v>
      </c>
      <c r="F174" s="114">
        <f t="shared" si="25"/>
        <v>3.6805681553096084E-3</v>
      </c>
    </row>
    <row r="175" spans="1:6" x14ac:dyDescent="0.2">
      <c r="A175" s="115">
        <v>8</v>
      </c>
      <c r="B175" s="116" t="s">
        <v>120</v>
      </c>
      <c r="C175" s="133">
        <v>1958</v>
      </c>
      <c r="D175" s="133">
        <v>1977</v>
      </c>
      <c r="E175" s="133">
        <f t="shared" si="24"/>
        <v>19</v>
      </c>
      <c r="F175" s="114">
        <f t="shared" si="25"/>
        <v>9.7037793667007158E-3</v>
      </c>
    </row>
    <row r="176" spans="1:6" x14ac:dyDescent="0.2">
      <c r="A176" s="115">
        <v>9</v>
      </c>
      <c r="B176" s="116" t="s">
        <v>121</v>
      </c>
      <c r="C176" s="133">
        <v>8406</v>
      </c>
      <c r="D176" s="133">
        <v>8313</v>
      </c>
      <c r="E176" s="133">
        <f t="shared" si="24"/>
        <v>-93</v>
      </c>
      <c r="F176" s="114">
        <f t="shared" si="25"/>
        <v>-1.1063526052819414E-2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152499</v>
      </c>
      <c r="D179" s="134">
        <f>SUM(D168:D178)</f>
        <v>152727</v>
      </c>
      <c r="E179" s="134">
        <f t="shared" si="24"/>
        <v>228</v>
      </c>
      <c r="F179" s="120">
        <f t="shared" si="25"/>
        <v>1.495091771093581E-3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74" fitToHeight="2" orientation="portrait" horizontalDpi="1200" verticalDpi="1200" r:id="rId1"/>
  <headerFooter>
    <oddHeader>&amp;LOFFICE OF HEALTH CARE ACCESS&amp;CTWELVE MONTHS ACTUAL FILING&amp;RYALE-NEW HAVEN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342098000</v>
      </c>
      <c r="D15" s="157">
        <v>365062000</v>
      </c>
      <c r="E15" s="157">
        <f>+D15-C15</f>
        <v>22964000</v>
      </c>
      <c r="F15" s="161">
        <f>IF(C15=0,0,E15/C15)</f>
        <v>6.7126963618612215E-2</v>
      </c>
    </row>
    <row r="16" spans="1:6" ht="15" customHeight="1" x14ac:dyDescent="0.2">
      <c r="A16" s="147">
        <v>2</v>
      </c>
      <c r="B16" s="160" t="s">
        <v>157</v>
      </c>
      <c r="C16" s="157">
        <v>0</v>
      </c>
      <c r="D16" s="157">
        <v>0</v>
      </c>
      <c r="E16" s="157">
        <f>+D16-C16</f>
        <v>0</v>
      </c>
      <c r="F16" s="161">
        <f>IF(C16=0,0,E16/C16)</f>
        <v>0</v>
      </c>
    </row>
    <row r="17" spans="1:6" ht="15" customHeight="1" x14ac:dyDescent="0.2">
      <c r="A17" s="147">
        <v>3</v>
      </c>
      <c r="B17" s="160" t="s">
        <v>158</v>
      </c>
      <c r="C17" s="157">
        <v>475792000</v>
      </c>
      <c r="D17" s="157">
        <v>473997000</v>
      </c>
      <c r="E17" s="157">
        <f>+D17-C17</f>
        <v>-1795000</v>
      </c>
      <c r="F17" s="161">
        <f>IF(C17=0,0,E17/C17)</f>
        <v>-3.7726569593435786E-3</v>
      </c>
    </row>
    <row r="18" spans="1:6" ht="15.75" customHeight="1" x14ac:dyDescent="0.25">
      <c r="A18" s="147"/>
      <c r="B18" s="162" t="s">
        <v>159</v>
      </c>
      <c r="C18" s="158">
        <f>SUM(C15:C17)</f>
        <v>817890000</v>
      </c>
      <c r="D18" s="158">
        <f>SUM(D15:D17)</f>
        <v>839059000</v>
      </c>
      <c r="E18" s="158">
        <f>+D18-C18</f>
        <v>21169000</v>
      </c>
      <c r="F18" s="159">
        <f>IF(C18=0,0,E18/C18)</f>
        <v>2.5882453630683831E-2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98661000</v>
      </c>
      <c r="D21" s="157">
        <v>105284000</v>
      </c>
      <c r="E21" s="157">
        <f>+D21-C21</f>
        <v>6623000</v>
      </c>
      <c r="F21" s="161">
        <f>IF(C21=0,0,E21/C21)</f>
        <v>6.7128855373450508E-2</v>
      </c>
    </row>
    <row r="22" spans="1:6" ht="15" customHeight="1" x14ac:dyDescent="0.2">
      <c r="A22" s="147">
        <v>2</v>
      </c>
      <c r="B22" s="160" t="s">
        <v>162</v>
      </c>
      <c r="C22" s="157">
        <v>0</v>
      </c>
      <c r="D22" s="157">
        <v>0</v>
      </c>
      <c r="E22" s="157">
        <f>+D22-C22</f>
        <v>0</v>
      </c>
      <c r="F22" s="161">
        <f>IF(C22=0,0,E22/C22)</f>
        <v>0</v>
      </c>
    </row>
    <row r="23" spans="1:6" ht="15" customHeight="1" x14ac:dyDescent="0.2">
      <c r="A23" s="147">
        <v>3</v>
      </c>
      <c r="B23" s="160" t="s">
        <v>163</v>
      </c>
      <c r="C23" s="157">
        <v>137189000</v>
      </c>
      <c r="D23" s="157">
        <v>132730000</v>
      </c>
      <c r="E23" s="157">
        <f>+D23-C23</f>
        <v>-4459000</v>
      </c>
      <c r="F23" s="161">
        <f>IF(C23=0,0,E23/C23)</f>
        <v>-3.250260589405856E-2</v>
      </c>
    </row>
    <row r="24" spans="1:6" ht="15.75" customHeight="1" x14ac:dyDescent="0.25">
      <c r="A24" s="147"/>
      <c r="B24" s="162" t="s">
        <v>164</v>
      </c>
      <c r="C24" s="158">
        <f>SUM(C21:C23)</f>
        <v>235850000</v>
      </c>
      <c r="D24" s="158">
        <f>SUM(D21:D23)</f>
        <v>238014000</v>
      </c>
      <c r="E24" s="158">
        <f>+D24-C24</f>
        <v>2164000</v>
      </c>
      <c r="F24" s="159">
        <f>IF(C24=0,0,E24/C24)</f>
        <v>9.1753232987068049E-3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6780000</v>
      </c>
      <c r="D27" s="157">
        <v>6419000</v>
      </c>
      <c r="E27" s="157">
        <f>+D27-C27</f>
        <v>-361000</v>
      </c>
      <c r="F27" s="161">
        <f>IF(C27=0,0,E27/C27)</f>
        <v>-5.3244837758112097E-2</v>
      </c>
    </row>
    <row r="28" spans="1:6" ht="15" customHeight="1" x14ac:dyDescent="0.2">
      <c r="A28" s="147">
        <v>2</v>
      </c>
      <c r="B28" s="160" t="s">
        <v>167</v>
      </c>
      <c r="C28" s="157">
        <v>89392000</v>
      </c>
      <c r="D28" s="157">
        <v>92313000</v>
      </c>
      <c r="E28" s="157">
        <f>+D28-C28</f>
        <v>2921000</v>
      </c>
      <c r="F28" s="161">
        <f>IF(C28=0,0,E28/C28)</f>
        <v>3.2676302129944511E-2</v>
      </c>
    </row>
    <row r="29" spans="1:6" ht="15" customHeight="1" x14ac:dyDescent="0.2">
      <c r="A29" s="147">
        <v>3</v>
      </c>
      <c r="B29" s="160" t="s">
        <v>168</v>
      </c>
      <c r="C29" s="157">
        <v>203284000</v>
      </c>
      <c r="D29" s="157">
        <v>232263000</v>
      </c>
      <c r="E29" s="157">
        <f>+D29-C29</f>
        <v>28979000</v>
      </c>
      <c r="F29" s="161">
        <f>IF(C29=0,0,E29/C29)</f>
        <v>0.14255425906613409</v>
      </c>
    </row>
    <row r="30" spans="1:6" ht="15.75" customHeight="1" x14ac:dyDescent="0.25">
      <c r="A30" s="147"/>
      <c r="B30" s="162" t="s">
        <v>169</v>
      </c>
      <c r="C30" s="158">
        <f>SUM(C27:C29)</f>
        <v>299456000</v>
      </c>
      <c r="D30" s="158">
        <f>SUM(D27:D29)</f>
        <v>330995000</v>
      </c>
      <c r="E30" s="158">
        <f>+D30-C30</f>
        <v>31539000</v>
      </c>
      <c r="F30" s="159">
        <f>IF(C30=0,0,E30/C30)</f>
        <v>0.10532098204744604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239291000</v>
      </c>
      <c r="D33" s="157">
        <v>231645000</v>
      </c>
      <c r="E33" s="157">
        <f>+D33-C33</f>
        <v>-7646000</v>
      </c>
      <c r="F33" s="161">
        <f>IF(C33=0,0,E33/C33)</f>
        <v>-3.1952727014388338E-2</v>
      </c>
    </row>
    <row r="34" spans="1:6" ht="15" customHeight="1" x14ac:dyDescent="0.2">
      <c r="A34" s="147">
        <v>2</v>
      </c>
      <c r="B34" s="160" t="s">
        <v>173</v>
      </c>
      <c r="C34" s="157">
        <v>218042000</v>
      </c>
      <c r="D34" s="157">
        <v>255236000</v>
      </c>
      <c r="E34" s="157">
        <f>+D34-C34</f>
        <v>37194000</v>
      </c>
      <c r="F34" s="161">
        <f>IF(C34=0,0,E34/C34)</f>
        <v>0.17058181451280027</v>
      </c>
    </row>
    <row r="35" spans="1:6" ht="15.75" customHeight="1" x14ac:dyDescent="0.25">
      <c r="A35" s="147"/>
      <c r="B35" s="162" t="s">
        <v>174</v>
      </c>
      <c r="C35" s="158">
        <f>SUM(C33:C34)</f>
        <v>457333000</v>
      </c>
      <c r="D35" s="158">
        <f>SUM(D33:D34)</f>
        <v>486881000</v>
      </c>
      <c r="E35" s="158">
        <f>+D35-C35</f>
        <v>29548000</v>
      </c>
      <c r="F35" s="159">
        <f>IF(C35=0,0,E35/C35)</f>
        <v>6.4609376537446458E-2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46169000</v>
      </c>
      <c r="D38" s="157">
        <v>48717000</v>
      </c>
      <c r="E38" s="157">
        <f>+D38-C38</f>
        <v>2548000</v>
      </c>
      <c r="F38" s="161">
        <f>IF(C38=0,0,E38/C38)</f>
        <v>5.5188546427256381E-2</v>
      </c>
    </row>
    <row r="39" spans="1:6" ht="15" customHeight="1" x14ac:dyDescent="0.2">
      <c r="A39" s="147">
        <v>2</v>
      </c>
      <c r="B39" s="160" t="s">
        <v>178</v>
      </c>
      <c r="C39" s="157">
        <v>72988000</v>
      </c>
      <c r="D39" s="157">
        <v>77019000</v>
      </c>
      <c r="E39" s="157">
        <f>+D39-C39</f>
        <v>4031000</v>
      </c>
      <c r="F39" s="161">
        <f>IF(C39=0,0,E39/C39)</f>
        <v>5.5228256699731464E-2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119157000</v>
      </c>
      <c r="D41" s="158">
        <f>SUM(D38:D40)</f>
        <v>125736000</v>
      </c>
      <c r="E41" s="158">
        <f>+D41-C41</f>
        <v>6579000</v>
      </c>
      <c r="F41" s="159">
        <f>IF(C41=0,0,E41/C41)</f>
        <v>5.5212870414663009E-2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20696000</v>
      </c>
      <c r="D47" s="157">
        <v>22464000</v>
      </c>
      <c r="E47" s="157">
        <f>+D47-C47</f>
        <v>1768000</v>
      </c>
      <c r="F47" s="161">
        <f>IF(C47=0,0,E47/C47)</f>
        <v>8.5427135678391955E-2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14594000</v>
      </c>
      <c r="D50" s="157">
        <v>22728000</v>
      </c>
      <c r="E50" s="157">
        <f>+D50-C50</f>
        <v>8134000</v>
      </c>
      <c r="F50" s="161">
        <f>IF(C50=0,0,E50/C50)</f>
        <v>0.55735233657667538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1794000</v>
      </c>
      <c r="D53" s="157">
        <v>1847000</v>
      </c>
      <c r="E53" s="157">
        <f t="shared" ref="E53:E59" si="0">+D53-C53</f>
        <v>53000</v>
      </c>
      <c r="F53" s="161">
        <f t="shared" ref="F53:F59" si="1">IF(C53=0,0,E53/C53)</f>
        <v>2.9542920847268672E-2</v>
      </c>
    </row>
    <row r="54" spans="1:6" ht="15" customHeight="1" x14ac:dyDescent="0.2">
      <c r="A54" s="147">
        <v>2</v>
      </c>
      <c r="B54" s="160" t="s">
        <v>189</v>
      </c>
      <c r="C54" s="157">
        <v>1451000</v>
      </c>
      <c r="D54" s="157">
        <v>1499000</v>
      </c>
      <c r="E54" s="157">
        <f t="shared" si="0"/>
        <v>48000</v>
      </c>
      <c r="F54" s="161">
        <f t="shared" si="1"/>
        <v>3.308063404548587E-2</v>
      </c>
    </row>
    <row r="55" spans="1:6" ht="15" customHeight="1" x14ac:dyDescent="0.2">
      <c r="A55" s="147">
        <v>3</v>
      </c>
      <c r="B55" s="160" t="s">
        <v>190</v>
      </c>
      <c r="C55" s="157">
        <v>0</v>
      </c>
      <c r="D55" s="157">
        <v>0</v>
      </c>
      <c r="E55" s="157">
        <f t="shared" si="0"/>
        <v>0</v>
      </c>
      <c r="F55" s="161">
        <f t="shared" si="1"/>
        <v>0</v>
      </c>
    </row>
    <row r="56" spans="1:6" ht="15" customHeight="1" x14ac:dyDescent="0.2">
      <c r="A56" s="147">
        <v>4</v>
      </c>
      <c r="B56" s="160" t="s">
        <v>191</v>
      </c>
      <c r="C56" s="157">
        <v>21571000</v>
      </c>
      <c r="D56" s="157">
        <v>20097000</v>
      </c>
      <c r="E56" s="157">
        <f t="shared" si="0"/>
        <v>-1474000</v>
      </c>
      <c r="F56" s="161">
        <f t="shared" si="1"/>
        <v>-6.8332483426823049E-2</v>
      </c>
    </row>
    <row r="57" spans="1:6" ht="15" customHeight="1" x14ac:dyDescent="0.2">
      <c r="A57" s="147">
        <v>5</v>
      </c>
      <c r="B57" s="160" t="s">
        <v>192</v>
      </c>
      <c r="C57" s="157">
        <v>3314000</v>
      </c>
      <c r="D57" s="157">
        <v>3125000</v>
      </c>
      <c r="E57" s="157">
        <f t="shared" si="0"/>
        <v>-189000</v>
      </c>
      <c r="F57" s="161">
        <f t="shared" si="1"/>
        <v>-5.7030778515389256E-2</v>
      </c>
    </row>
    <row r="58" spans="1:6" ht="15" customHeight="1" x14ac:dyDescent="0.2">
      <c r="A58" s="147">
        <v>6</v>
      </c>
      <c r="B58" s="160" t="s">
        <v>193</v>
      </c>
      <c r="C58" s="157">
        <v>1326000</v>
      </c>
      <c r="D58" s="157">
        <v>1141000</v>
      </c>
      <c r="E58" s="157">
        <f t="shared" si="0"/>
        <v>-185000</v>
      </c>
      <c r="F58" s="161">
        <f t="shared" si="1"/>
        <v>-0.13951734539969834</v>
      </c>
    </row>
    <row r="59" spans="1:6" ht="15.75" customHeight="1" x14ac:dyDescent="0.25">
      <c r="A59" s="147"/>
      <c r="B59" s="162" t="s">
        <v>194</v>
      </c>
      <c r="C59" s="158">
        <f>SUM(C53:C58)</f>
        <v>29456000</v>
      </c>
      <c r="D59" s="158">
        <f>SUM(D53:D58)</f>
        <v>27709000</v>
      </c>
      <c r="E59" s="158">
        <f t="shared" si="0"/>
        <v>-1747000</v>
      </c>
      <c r="F59" s="159">
        <f t="shared" si="1"/>
        <v>-5.9308799565453561E-2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1065000</v>
      </c>
      <c r="D62" s="157">
        <v>702000</v>
      </c>
      <c r="E62" s="157">
        <f t="shared" ref="E62:E90" si="2">+D62-C62</f>
        <v>-363000</v>
      </c>
      <c r="F62" s="161">
        <f t="shared" ref="F62:F90" si="3">IF(C62=0,0,E62/C62)</f>
        <v>-0.3408450704225352</v>
      </c>
    </row>
    <row r="63" spans="1:6" ht="15" customHeight="1" x14ac:dyDescent="0.2">
      <c r="A63" s="147">
        <v>2</v>
      </c>
      <c r="B63" s="160" t="s">
        <v>198</v>
      </c>
      <c r="C63" s="157">
        <v>3463000</v>
      </c>
      <c r="D63" s="157">
        <v>2866000</v>
      </c>
      <c r="E63" s="157">
        <f t="shared" si="2"/>
        <v>-597000</v>
      </c>
      <c r="F63" s="161">
        <f t="shared" si="3"/>
        <v>-0.17239387814034074</v>
      </c>
    </row>
    <row r="64" spans="1:6" ht="15" customHeight="1" x14ac:dyDescent="0.2">
      <c r="A64" s="147">
        <v>3</v>
      </c>
      <c r="B64" s="160" t="s">
        <v>199</v>
      </c>
      <c r="C64" s="157">
        <v>456000</v>
      </c>
      <c r="D64" s="157">
        <v>206000</v>
      </c>
      <c r="E64" s="157">
        <f t="shared" si="2"/>
        <v>-250000</v>
      </c>
      <c r="F64" s="161">
        <f t="shared" si="3"/>
        <v>-0.54824561403508776</v>
      </c>
    </row>
    <row r="65" spans="1:6" ht="15" customHeight="1" x14ac:dyDescent="0.2">
      <c r="A65" s="147">
        <v>4</v>
      </c>
      <c r="B65" s="160" t="s">
        <v>200</v>
      </c>
      <c r="C65" s="157">
        <v>1943000</v>
      </c>
      <c r="D65" s="157">
        <v>1965000</v>
      </c>
      <c r="E65" s="157">
        <f t="shared" si="2"/>
        <v>22000</v>
      </c>
      <c r="F65" s="161">
        <f t="shared" si="3"/>
        <v>1.1322696860524962E-2</v>
      </c>
    </row>
    <row r="66" spans="1:6" ht="15" customHeight="1" x14ac:dyDescent="0.2">
      <c r="A66" s="147">
        <v>5</v>
      </c>
      <c r="B66" s="160" t="s">
        <v>201</v>
      </c>
      <c r="C66" s="157">
        <v>6357000</v>
      </c>
      <c r="D66" s="157">
        <v>4735000</v>
      </c>
      <c r="E66" s="157">
        <f t="shared" si="2"/>
        <v>-1622000</v>
      </c>
      <c r="F66" s="161">
        <f t="shared" si="3"/>
        <v>-0.2551518011640711</v>
      </c>
    </row>
    <row r="67" spans="1:6" ht="15" customHeight="1" x14ac:dyDescent="0.2">
      <c r="A67" s="147">
        <v>6</v>
      </c>
      <c r="B67" s="160" t="s">
        <v>202</v>
      </c>
      <c r="C67" s="157">
        <v>23520000</v>
      </c>
      <c r="D67" s="157">
        <v>26782000</v>
      </c>
      <c r="E67" s="157">
        <f t="shared" si="2"/>
        <v>3262000</v>
      </c>
      <c r="F67" s="161">
        <f t="shared" si="3"/>
        <v>0.1386904761904762</v>
      </c>
    </row>
    <row r="68" spans="1:6" ht="15" customHeight="1" x14ac:dyDescent="0.2">
      <c r="A68" s="147">
        <v>7</v>
      </c>
      <c r="B68" s="160" t="s">
        <v>203</v>
      </c>
      <c r="C68" s="157">
        <v>35045000</v>
      </c>
      <c r="D68" s="157">
        <v>16328000</v>
      </c>
      <c r="E68" s="157">
        <f t="shared" si="2"/>
        <v>-18717000</v>
      </c>
      <c r="F68" s="161">
        <f t="shared" si="3"/>
        <v>-0.53408474818091023</v>
      </c>
    </row>
    <row r="69" spans="1:6" ht="15" customHeight="1" x14ac:dyDescent="0.2">
      <c r="A69" s="147">
        <v>8</v>
      </c>
      <c r="B69" s="160" t="s">
        <v>204</v>
      </c>
      <c r="C69" s="157">
        <v>2358000</v>
      </c>
      <c r="D69" s="157">
        <v>2164000</v>
      </c>
      <c r="E69" s="157">
        <f t="shared" si="2"/>
        <v>-194000</v>
      </c>
      <c r="F69" s="161">
        <f t="shared" si="3"/>
        <v>-8.2273112807463952E-2</v>
      </c>
    </row>
    <row r="70" spans="1:6" ht="15" customHeight="1" x14ac:dyDescent="0.2">
      <c r="A70" s="147">
        <v>9</v>
      </c>
      <c r="B70" s="160" t="s">
        <v>205</v>
      </c>
      <c r="C70" s="157">
        <v>4000</v>
      </c>
      <c r="D70" s="157">
        <v>0</v>
      </c>
      <c r="E70" s="157">
        <f t="shared" si="2"/>
        <v>-4000</v>
      </c>
      <c r="F70" s="161">
        <f t="shared" si="3"/>
        <v>-1</v>
      </c>
    </row>
    <row r="71" spans="1:6" ht="15" customHeight="1" x14ac:dyDescent="0.2">
      <c r="A71" s="147">
        <v>10</v>
      </c>
      <c r="B71" s="160" t="s">
        <v>206</v>
      </c>
      <c r="C71" s="157">
        <v>2947000</v>
      </c>
      <c r="D71" s="157">
        <v>2612000</v>
      </c>
      <c r="E71" s="157">
        <f t="shared" si="2"/>
        <v>-335000</v>
      </c>
      <c r="F71" s="161">
        <f t="shared" si="3"/>
        <v>-0.11367492365117068</v>
      </c>
    </row>
    <row r="72" spans="1:6" ht="15" customHeight="1" x14ac:dyDescent="0.2">
      <c r="A72" s="147">
        <v>11</v>
      </c>
      <c r="B72" s="160" t="s">
        <v>207</v>
      </c>
      <c r="C72" s="157">
        <v>4488000</v>
      </c>
      <c r="D72" s="157">
        <v>5154000</v>
      </c>
      <c r="E72" s="157">
        <f t="shared" si="2"/>
        <v>666000</v>
      </c>
      <c r="F72" s="161">
        <f t="shared" si="3"/>
        <v>0.1483957219251337</v>
      </c>
    </row>
    <row r="73" spans="1:6" ht="15" customHeight="1" x14ac:dyDescent="0.2">
      <c r="A73" s="147">
        <v>12</v>
      </c>
      <c r="B73" s="160" t="s">
        <v>208</v>
      </c>
      <c r="C73" s="157">
        <v>20729000</v>
      </c>
      <c r="D73" s="157">
        <v>22082000</v>
      </c>
      <c r="E73" s="157">
        <f t="shared" si="2"/>
        <v>1353000</v>
      </c>
      <c r="F73" s="161">
        <f t="shared" si="3"/>
        <v>6.52708765497612E-2</v>
      </c>
    </row>
    <row r="74" spans="1:6" ht="15" customHeight="1" x14ac:dyDescent="0.2">
      <c r="A74" s="147">
        <v>13</v>
      </c>
      <c r="B74" s="160" t="s">
        <v>209</v>
      </c>
      <c r="C74" s="157">
        <v>1556000</v>
      </c>
      <c r="D74" s="157">
        <v>1464000</v>
      </c>
      <c r="E74" s="157">
        <f t="shared" si="2"/>
        <v>-92000</v>
      </c>
      <c r="F74" s="161">
        <f t="shared" si="3"/>
        <v>-5.9125964010282778E-2</v>
      </c>
    </row>
    <row r="75" spans="1:6" ht="15" customHeight="1" x14ac:dyDescent="0.2">
      <c r="A75" s="147">
        <v>14</v>
      </c>
      <c r="B75" s="160" t="s">
        <v>210</v>
      </c>
      <c r="C75" s="157">
        <v>1813000</v>
      </c>
      <c r="D75" s="157">
        <v>1687000</v>
      </c>
      <c r="E75" s="157">
        <f t="shared" si="2"/>
        <v>-126000</v>
      </c>
      <c r="F75" s="161">
        <f t="shared" si="3"/>
        <v>-6.9498069498069498E-2</v>
      </c>
    </row>
    <row r="76" spans="1:6" ht="15" customHeight="1" x14ac:dyDescent="0.2">
      <c r="A76" s="147">
        <v>15</v>
      </c>
      <c r="B76" s="160" t="s">
        <v>211</v>
      </c>
      <c r="C76" s="157">
        <v>622000</v>
      </c>
      <c r="D76" s="157">
        <v>425000</v>
      </c>
      <c r="E76" s="157">
        <f t="shared" si="2"/>
        <v>-197000</v>
      </c>
      <c r="F76" s="161">
        <f t="shared" si="3"/>
        <v>-0.31672025723472669</v>
      </c>
    </row>
    <row r="77" spans="1:6" ht="15" customHeight="1" x14ac:dyDescent="0.2">
      <c r="A77" s="147">
        <v>16</v>
      </c>
      <c r="B77" s="160" t="s">
        <v>212</v>
      </c>
      <c r="C77" s="157">
        <v>29760000</v>
      </c>
      <c r="D77" s="157">
        <v>31637000</v>
      </c>
      <c r="E77" s="157">
        <f t="shared" si="2"/>
        <v>1877000</v>
      </c>
      <c r="F77" s="161">
        <f t="shared" si="3"/>
        <v>6.3071236559139779E-2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463000</v>
      </c>
      <c r="D79" s="157">
        <v>380000</v>
      </c>
      <c r="E79" s="157">
        <f t="shared" si="2"/>
        <v>-83000</v>
      </c>
      <c r="F79" s="161">
        <f t="shared" si="3"/>
        <v>-0.17926565874730022</v>
      </c>
    </row>
    <row r="80" spans="1:6" ht="15" customHeight="1" x14ac:dyDescent="0.2">
      <c r="A80" s="147">
        <v>19</v>
      </c>
      <c r="B80" s="160" t="s">
        <v>215</v>
      </c>
      <c r="C80" s="157">
        <v>3164000</v>
      </c>
      <c r="D80" s="157">
        <v>3191000</v>
      </c>
      <c r="E80" s="157">
        <f t="shared" si="2"/>
        <v>27000</v>
      </c>
      <c r="F80" s="161">
        <f t="shared" si="3"/>
        <v>8.5335018963337544E-3</v>
      </c>
    </row>
    <row r="81" spans="1:6" ht="15" customHeight="1" x14ac:dyDescent="0.2">
      <c r="A81" s="147">
        <v>20</v>
      </c>
      <c r="B81" s="160" t="s">
        <v>216</v>
      </c>
      <c r="C81" s="157">
        <v>14213000</v>
      </c>
      <c r="D81" s="157">
        <v>13544000</v>
      </c>
      <c r="E81" s="157">
        <f t="shared" si="2"/>
        <v>-669000</v>
      </c>
      <c r="F81" s="161">
        <f t="shared" si="3"/>
        <v>-4.7069584183493982E-2</v>
      </c>
    </row>
    <row r="82" spans="1:6" ht="15" customHeight="1" x14ac:dyDescent="0.2">
      <c r="A82" s="147">
        <v>21</v>
      </c>
      <c r="B82" s="160" t="s">
        <v>217</v>
      </c>
      <c r="C82" s="157">
        <v>1251000</v>
      </c>
      <c r="D82" s="157">
        <v>1397000</v>
      </c>
      <c r="E82" s="157">
        <f t="shared" si="2"/>
        <v>146000</v>
      </c>
      <c r="F82" s="161">
        <f t="shared" si="3"/>
        <v>0.11670663469224621</v>
      </c>
    </row>
    <row r="83" spans="1:6" ht="15" customHeight="1" x14ac:dyDescent="0.2">
      <c r="A83" s="147">
        <v>22</v>
      </c>
      <c r="B83" s="160" t="s">
        <v>218</v>
      </c>
      <c r="C83" s="157">
        <v>400000</v>
      </c>
      <c r="D83" s="157">
        <v>268000</v>
      </c>
      <c r="E83" s="157">
        <f t="shared" si="2"/>
        <v>-132000</v>
      </c>
      <c r="F83" s="161">
        <f t="shared" si="3"/>
        <v>-0.33</v>
      </c>
    </row>
    <row r="84" spans="1:6" ht="15" customHeight="1" x14ac:dyDescent="0.2">
      <c r="A84" s="147">
        <v>23</v>
      </c>
      <c r="B84" s="160" t="s">
        <v>219</v>
      </c>
      <c r="C84" s="157">
        <v>6092000</v>
      </c>
      <c r="D84" s="157">
        <v>6278000</v>
      </c>
      <c r="E84" s="157">
        <f t="shared" si="2"/>
        <v>186000</v>
      </c>
      <c r="F84" s="161">
        <f t="shared" si="3"/>
        <v>3.0531845042678925E-2</v>
      </c>
    </row>
    <row r="85" spans="1:6" ht="15" customHeight="1" x14ac:dyDescent="0.2">
      <c r="A85" s="147">
        <v>24</v>
      </c>
      <c r="B85" s="160" t="s">
        <v>220</v>
      </c>
      <c r="C85" s="157">
        <v>3982000</v>
      </c>
      <c r="D85" s="157">
        <v>7927000</v>
      </c>
      <c r="E85" s="157">
        <f t="shared" si="2"/>
        <v>3945000</v>
      </c>
      <c r="F85" s="161">
        <f t="shared" si="3"/>
        <v>0.99070818684078354</v>
      </c>
    </row>
    <row r="86" spans="1:6" ht="15" customHeight="1" x14ac:dyDescent="0.2">
      <c r="A86" s="147">
        <v>25</v>
      </c>
      <c r="B86" s="160" t="s">
        <v>221</v>
      </c>
      <c r="C86" s="157">
        <v>1950000</v>
      </c>
      <c r="D86" s="157">
        <v>1838000</v>
      </c>
      <c r="E86" s="157">
        <f t="shared" si="2"/>
        <v>-112000</v>
      </c>
      <c r="F86" s="161">
        <f t="shared" si="3"/>
        <v>-5.7435897435897436E-2</v>
      </c>
    </row>
    <row r="87" spans="1:6" ht="15" customHeight="1" x14ac:dyDescent="0.2">
      <c r="A87" s="147">
        <v>26</v>
      </c>
      <c r="B87" s="160" t="s">
        <v>222</v>
      </c>
      <c r="C87" s="157">
        <v>135425000</v>
      </c>
      <c r="D87" s="157">
        <v>168694000</v>
      </c>
      <c r="E87" s="157">
        <f t="shared" si="2"/>
        <v>33269000</v>
      </c>
      <c r="F87" s="161">
        <f t="shared" si="3"/>
        <v>0.245663651467602</v>
      </c>
    </row>
    <row r="88" spans="1:6" ht="15" customHeight="1" x14ac:dyDescent="0.2">
      <c r="A88" s="147">
        <v>27</v>
      </c>
      <c r="B88" s="160" t="s">
        <v>223</v>
      </c>
      <c r="C88" s="157">
        <v>113015000</v>
      </c>
      <c r="D88" s="157">
        <v>159529000</v>
      </c>
      <c r="E88" s="157">
        <f t="shared" si="2"/>
        <v>46514000</v>
      </c>
      <c r="F88" s="161">
        <f t="shared" si="3"/>
        <v>0.41157368490908286</v>
      </c>
    </row>
    <row r="89" spans="1:6" ht="15" customHeight="1" x14ac:dyDescent="0.2">
      <c r="A89" s="147">
        <v>28</v>
      </c>
      <c r="B89" s="160" t="s">
        <v>224</v>
      </c>
      <c r="C89" s="157">
        <v>2851000</v>
      </c>
      <c r="D89" s="157">
        <v>2903000</v>
      </c>
      <c r="E89" s="157">
        <f t="shared" si="2"/>
        <v>52000</v>
      </c>
      <c r="F89" s="161">
        <f t="shared" si="3"/>
        <v>1.8239214310768151E-2</v>
      </c>
    </row>
    <row r="90" spans="1:6" ht="15.75" customHeight="1" x14ac:dyDescent="0.25">
      <c r="A90" s="147"/>
      <c r="B90" s="162" t="s">
        <v>225</v>
      </c>
      <c r="C90" s="158">
        <f>SUM(C62:C89)</f>
        <v>418932000</v>
      </c>
      <c r="D90" s="158">
        <f>SUM(D62:D89)</f>
        <v>486758000</v>
      </c>
      <c r="E90" s="158">
        <f t="shared" si="2"/>
        <v>67826000</v>
      </c>
      <c r="F90" s="159">
        <f t="shared" si="3"/>
        <v>0.16190217028061835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2413364000</v>
      </c>
      <c r="D95" s="158">
        <f>+D93+D90+D59+D50+D47+D44+D41+D35+D30+D24+D18</f>
        <v>2580344000</v>
      </c>
      <c r="E95" s="158">
        <f>+D95-C95</f>
        <v>166980000</v>
      </c>
      <c r="F95" s="159">
        <f>IF(C95=0,0,E95/C95)</f>
        <v>6.9189728528311525E-2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72496443</v>
      </c>
      <c r="D103" s="157">
        <v>108854000</v>
      </c>
      <c r="E103" s="157">
        <f t="shared" ref="E103:E121" si="4">D103-C103</f>
        <v>36357557</v>
      </c>
      <c r="F103" s="161">
        <f t="shared" ref="F103:F121" si="5">IF(C103=0,0,E103/C103)</f>
        <v>0.50150814985502112</v>
      </c>
    </row>
    <row r="104" spans="1:6" ht="15" customHeight="1" x14ac:dyDescent="0.2">
      <c r="A104" s="147">
        <v>2</v>
      </c>
      <c r="B104" s="169" t="s">
        <v>234</v>
      </c>
      <c r="C104" s="157">
        <v>5896204</v>
      </c>
      <c r="D104" s="157">
        <v>6218000</v>
      </c>
      <c r="E104" s="157">
        <f t="shared" si="4"/>
        <v>321796</v>
      </c>
      <c r="F104" s="161">
        <f t="shared" si="5"/>
        <v>5.4576809079197396E-2</v>
      </c>
    </row>
    <row r="105" spans="1:6" ht="15" customHeight="1" x14ac:dyDescent="0.2">
      <c r="A105" s="147">
        <v>3</v>
      </c>
      <c r="B105" s="169" t="s">
        <v>235</v>
      </c>
      <c r="C105" s="157">
        <v>65322534</v>
      </c>
      <c r="D105" s="157">
        <v>65841000</v>
      </c>
      <c r="E105" s="157">
        <f t="shared" si="4"/>
        <v>518466</v>
      </c>
      <c r="F105" s="161">
        <f t="shared" si="5"/>
        <v>7.9370160379877482E-3</v>
      </c>
    </row>
    <row r="106" spans="1:6" ht="15" customHeight="1" x14ac:dyDescent="0.2">
      <c r="A106" s="147">
        <v>4</v>
      </c>
      <c r="B106" s="169" t="s">
        <v>236</v>
      </c>
      <c r="C106" s="157">
        <v>208707</v>
      </c>
      <c r="D106" s="157">
        <v>85000</v>
      </c>
      <c r="E106" s="157">
        <f t="shared" si="4"/>
        <v>-123707</v>
      </c>
      <c r="F106" s="161">
        <f t="shared" si="5"/>
        <v>-0.59273047861355876</v>
      </c>
    </row>
    <row r="107" spans="1:6" ht="15" customHeight="1" x14ac:dyDescent="0.2">
      <c r="A107" s="147">
        <v>5</v>
      </c>
      <c r="B107" s="169" t="s">
        <v>237</v>
      </c>
      <c r="C107" s="157">
        <v>0</v>
      </c>
      <c r="D107" s="157">
        <v>0</v>
      </c>
      <c r="E107" s="157">
        <f t="shared" si="4"/>
        <v>0</v>
      </c>
      <c r="F107" s="161">
        <f t="shared" si="5"/>
        <v>0</v>
      </c>
    </row>
    <row r="108" spans="1:6" ht="15" customHeight="1" x14ac:dyDescent="0.2">
      <c r="A108" s="147">
        <v>6</v>
      </c>
      <c r="B108" s="169" t="s">
        <v>238</v>
      </c>
      <c r="C108" s="157">
        <v>6622266</v>
      </c>
      <c r="D108" s="157">
        <v>7072000</v>
      </c>
      <c r="E108" s="157">
        <f t="shared" si="4"/>
        <v>449734</v>
      </c>
      <c r="F108" s="161">
        <f t="shared" si="5"/>
        <v>6.791240339787015E-2</v>
      </c>
    </row>
    <row r="109" spans="1:6" ht="15" customHeight="1" x14ac:dyDescent="0.2">
      <c r="A109" s="147">
        <v>7</v>
      </c>
      <c r="B109" s="169" t="s">
        <v>239</v>
      </c>
      <c r="C109" s="157">
        <v>4433538</v>
      </c>
      <c r="D109" s="157">
        <v>4527000</v>
      </c>
      <c r="E109" s="157">
        <f t="shared" si="4"/>
        <v>93462</v>
      </c>
      <c r="F109" s="161">
        <f t="shared" si="5"/>
        <v>2.1080680936985317E-2</v>
      </c>
    </row>
    <row r="110" spans="1:6" ht="15" customHeight="1" x14ac:dyDescent="0.2">
      <c r="A110" s="147">
        <v>8</v>
      </c>
      <c r="B110" s="169" t="s">
        <v>240</v>
      </c>
      <c r="C110" s="157">
        <v>1244128</v>
      </c>
      <c r="D110" s="157">
        <v>1241000</v>
      </c>
      <c r="E110" s="157">
        <f t="shared" si="4"/>
        <v>-3128</v>
      </c>
      <c r="F110" s="161">
        <f t="shared" si="5"/>
        <v>-2.514210756449497E-3</v>
      </c>
    </row>
    <row r="111" spans="1:6" ht="15" customHeight="1" x14ac:dyDescent="0.2">
      <c r="A111" s="147">
        <v>9</v>
      </c>
      <c r="B111" s="169" t="s">
        <v>241</v>
      </c>
      <c r="C111" s="157">
        <v>5570171</v>
      </c>
      <c r="D111" s="157">
        <v>5857000</v>
      </c>
      <c r="E111" s="157">
        <f t="shared" si="4"/>
        <v>286829</v>
      </c>
      <c r="F111" s="161">
        <f t="shared" si="5"/>
        <v>5.1493751269036443E-2</v>
      </c>
    </row>
    <row r="112" spans="1:6" ht="15" customHeight="1" x14ac:dyDescent="0.2">
      <c r="A112" s="147">
        <v>10</v>
      </c>
      <c r="B112" s="169" t="s">
        <v>242</v>
      </c>
      <c r="C112" s="157">
        <v>31257833</v>
      </c>
      <c r="D112" s="157">
        <v>32277000</v>
      </c>
      <c r="E112" s="157">
        <f t="shared" si="4"/>
        <v>1019167</v>
      </c>
      <c r="F112" s="161">
        <f t="shared" si="5"/>
        <v>3.2605171318178069E-2</v>
      </c>
    </row>
    <row r="113" spans="1:6" ht="15" customHeight="1" x14ac:dyDescent="0.2">
      <c r="A113" s="147">
        <v>11</v>
      </c>
      <c r="B113" s="169" t="s">
        <v>243</v>
      </c>
      <c r="C113" s="157">
        <v>26191764</v>
      </c>
      <c r="D113" s="157">
        <v>25501000</v>
      </c>
      <c r="E113" s="157">
        <f t="shared" si="4"/>
        <v>-690764</v>
      </c>
      <c r="F113" s="161">
        <f t="shared" si="5"/>
        <v>-2.6373328653999783E-2</v>
      </c>
    </row>
    <row r="114" spans="1:6" ht="15" customHeight="1" x14ac:dyDescent="0.2">
      <c r="A114" s="147">
        <v>12</v>
      </c>
      <c r="B114" s="169" t="s">
        <v>244</v>
      </c>
      <c r="C114" s="157">
        <v>338472</v>
      </c>
      <c r="D114" s="157">
        <v>273000</v>
      </c>
      <c r="E114" s="157">
        <f t="shared" si="4"/>
        <v>-65472</v>
      </c>
      <c r="F114" s="161">
        <f t="shared" si="5"/>
        <v>-0.19343402113025598</v>
      </c>
    </row>
    <row r="115" spans="1:6" ht="15" customHeight="1" x14ac:dyDescent="0.2">
      <c r="A115" s="147">
        <v>13</v>
      </c>
      <c r="B115" s="169" t="s">
        <v>245</v>
      </c>
      <c r="C115" s="157">
        <v>37060046</v>
      </c>
      <c r="D115" s="157">
        <v>31730000</v>
      </c>
      <c r="E115" s="157">
        <f t="shared" si="4"/>
        <v>-5330046</v>
      </c>
      <c r="F115" s="161">
        <f t="shared" si="5"/>
        <v>-0.1438218937990525</v>
      </c>
    </row>
    <row r="116" spans="1:6" ht="15" customHeight="1" x14ac:dyDescent="0.2">
      <c r="A116" s="147">
        <v>14</v>
      </c>
      <c r="B116" s="169" t="s">
        <v>246</v>
      </c>
      <c r="C116" s="157">
        <v>10559123</v>
      </c>
      <c r="D116" s="157">
        <v>10146000</v>
      </c>
      <c r="E116" s="157">
        <f t="shared" si="4"/>
        <v>-413123</v>
      </c>
      <c r="F116" s="161">
        <f t="shared" si="5"/>
        <v>-3.9124745492594412E-2</v>
      </c>
    </row>
    <row r="117" spans="1:6" ht="15" customHeight="1" x14ac:dyDescent="0.2">
      <c r="A117" s="147">
        <v>15</v>
      </c>
      <c r="B117" s="169" t="s">
        <v>203</v>
      </c>
      <c r="C117" s="157">
        <v>27381341</v>
      </c>
      <c r="D117" s="157">
        <v>23766000</v>
      </c>
      <c r="E117" s="157">
        <f t="shared" si="4"/>
        <v>-3615341</v>
      </c>
      <c r="F117" s="161">
        <f t="shared" si="5"/>
        <v>-0.13203666686741164</v>
      </c>
    </row>
    <row r="118" spans="1:6" ht="15" customHeight="1" x14ac:dyDescent="0.2">
      <c r="A118" s="147">
        <v>16</v>
      </c>
      <c r="B118" s="169" t="s">
        <v>247</v>
      </c>
      <c r="C118" s="157">
        <v>12888771</v>
      </c>
      <c r="D118" s="157">
        <v>15041000</v>
      </c>
      <c r="E118" s="157">
        <f t="shared" si="4"/>
        <v>2152229</v>
      </c>
      <c r="F118" s="161">
        <f t="shared" si="5"/>
        <v>0.16698481181797706</v>
      </c>
    </row>
    <row r="119" spans="1:6" ht="15" customHeight="1" x14ac:dyDescent="0.2">
      <c r="A119" s="147">
        <v>17</v>
      </c>
      <c r="B119" s="169" t="s">
        <v>248</v>
      </c>
      <c r="C119" s="157">
        <v>121028342</v>
      </c>
      <c r="D119" s="157">
        <v>150882000</v>
      </c>
      <c r="E119" s="157">
        <f t="shared" si="4"/>
        <v>29853658</v>
      </c>
      <c r="F119" s="161">
        <f t="shared" si="5"/>
        <v>0.24666666920050842</v>
      </c>
    </row>
    <row r="120" spans="1:6" ht="15" customHeight="1" x14ac:dyDescent="0.2">
      <c r="A120" s="147">
        <v>18</v>
      </c>
      <c r="B120" s="169" t="s">
        <v>249</v>
      </c>
      <c r="C120" s="157">
        <v>445788092</v>
      </c>
      <c r="D120" s="157">
        <v>529350000</v>
      </c>
      <c r="E120" s="157">
        <f t="shared" si="4"/>
        <v>83561908</v>
      </c>
      <c r="F120" s="161">
        <f t="shared" si="5"/>
        <v>0.18744760010323469</v>
      </c>
    </row>
    <row r="121" spans="1:6" ht="15.75" customHeight="1" x14ac:dyDescent="0.25">
      <c r="A121" s="147"/>
      <c r="B121" s="165" t="s">
        <v>250</v>
      </c>
      <c r="C121" s="158">
        <f>SUM(C103:C120)</f>
        <v>874287775</v>
      </c>
      <c r="D121" s="158">
        <f>SUM(D103:D120)</f>
        <v>1018661000</v>
      </c>
      <c r="E121" s="158">
        <f t="shared" si="4"/>
        <v>144373225</v>
      </c>
      <c r="F121" s="159">
        <f t="shared" si="5"/>
        <v>0.16513238447146308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51760553</v>
      </c>
      <c r="D124" s="157">
        <v>62202000</v>
      </c>
      <c r="E124" s="157">
        <f t="shared" ref="E124:E130" si="6">D124-C124</f>
        <v>10441447</v>
      </c>
      <c r="F124" s="161">
        <f t="shared" ref="F124:F130" si="7">IF(C124=0,0,E124/C124)</f>
        <v>0.20172595528490586</v>
      </c>
    </row>
    <row r="125" spans="1:6" ht="15" customHeight="1" x14ac:dyDescent="0.2">
      <c r="A125" s="147">
        <v>2</v>
      </c>
      <c r="B125" s="169" t="s">
        <v>253</v>
      </c>
      <c r="C125" s="157">
        <v>89108689</v>
      </c>
      <c r="D125" s="157">
        <v>81839000</v>
      </c>
      <c r="E125" s="157">
        <f t="shared" si="6"/>
        <v>-7269689</v>
      </c>
      <c r="F125" s="161">
        <f t="shared" si="7"/>
        <v>-8.1582268593357932E-2</v>
      </c>
    </row>
    <row r="126" spans="1:6" ht="15" customHeight="1" x14ac:dyDescent="0.2">
      <c r="A126" s="147">
        <v>3</v>
      </c>
      <c r="B126" s="169" t="s">
        <v>254</v>
      </c>
      <c r="C126" s="157">
        <v>18101555</v>
      </c>
      <c r="D126" s="157">
        <v>19283000</v>
      </c>
      <c r="E126" s="157">
        <f t="shared" si="6"/>
        <v>1181445</v>
      </c>
      <c r="F126" s="161">
        <f t="shared" si="7"/>
        <v>6.5267597176043718E-2</v>
      </c>
    </row>
    <row r="127" spans="1:6" ht="15" customHeight="1" x14ac:dyDescent="0.2">
      <c r="A127" s="147">
        <v>4</v>
      </c>
      <c r="B127" s="169" t="s">
        <v>255</v>
      </c>
      <c r="C127" s="157">
        <v>1703577</v>
      </c>
      <c r="D127" s="157">
        <v>1427000</v>
      </c>
      <c r="E127" s="157">
        <f t="shared" si="6"/>
        <v>-276577</v>
      </c>
      <c r="F127" s="161">
        <f t="shared" si="7"/>
        <v>-0.16235074786757511</v>
      </c>
    </row>
    <row r="128" spans="1:6" ht="15" customHeight="1" x14ac:dyDescent="0.2">
      <c r="A128" s="147">
        <v>5</v>
      </c>
      <c r="B128" s="169" t="s">
        <v>256</v>
      </c>
      <c r="C128" s="157">
        <v>8476907</v>
      </c>
      <c r="D128" s="157">
        <v>4852000</v>
      </c>
      <c r="E128" s="157">
        <f t="shared" si="6"/>
        <v>-3624907</v>
      </c>
      <c r="F128" s="161">
        <f t="shared" si="7"/>
        <v>-0.42762141899162043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169151281</v>
      </c>
      <c r="D130" s="158">
        <f>SUM(D124:D129)</f>
        <v>169603000</v>
      </c>
      <c r="E130" s="158">
        <f t="shared" si="6"/>
        <v>451719</v>
      </c>
      <c r="F130" s="159">
        <f t="shared" si="7"/>
        <v>2.6705029801104493E-3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155009981</v>
      </c>
      <c r="D133" s="157">
        <v>157187000</v>
      </c>
      <c r="E133" s="157">
        <f t="shared" ref="E133:E167" si="8">D133-C133</f>
        <v>2177019</v>
      </c>
      <c r="F133" s="161">
        <f t="shared" ref="F133:F167" si="9">IF(C133=0,0,E133/C133)</f>
        <v>1.4044379503536614E-2</v>
      </c>
    </row>
    <row r="134" spans="1:6" ht="15" customHeight="1" x14ac:dyDescent="0.2">
      <c r="A134" s="147">
        <v>2</v>
      </c>
      <c r="B134" s="169" t="s">
        <v>261</v>
      </c>
      <c r="C134" s="157">
        <v>11197070</v>
      </c>
      <c r="D134" s="157">
        <v>12685000</v>
      </c>
      <c r="E134" s="157">
        <f t="shared" si="8"/>
        <v>1487930</v>
      </c>
      <c r="F134" s="161">
        <f t="shared" si="9"/>
        <v>0.13288565669411731</v>
      </c>
    </row>
    <row r="135" spans="1:6" ht="15" customHeight="1" x14ac:dyDescent="0.2">
      <c r="A135" s="147">
        <v>3</v>
      </c>
      <c r="B135" s="169" t="s">
        <v>262</v>
      </c>
      <c r="C135" s="157">
        <v>26796421</v>
      </c>
      <c r="D135" s="157">
        <v>28233000</v>
      </c>
      <c r="E135" s="157">
        <f t="shared" si="8"/>
        <v>1436579</v>
      </c>
      <c r="F135" s="161">
        <f t="shared" si="9"/>
        <v>5.3610853479276209E-2</v>
      </c>
    </row>
    <row r="136" spans="1:6" ht="15" customHeight="1" x14ac:dyDescent="0.2">
      <c r="A136" s="147">
        <v>4</v>
      </c>
      <c r="B136" s="169" t="s">
        <v>263</v>
      </c>
      <c r="C136" s="157">
        <v>10725667</v>
      </c>
      <c r="D136" s="157">
        <v>11129000</v>
      </c>
      <c r="E136" s="157">
        <f t="shared" si="8"/>
        <v>403333</v>
      </c>
      <c r="F136" s="161">
        <f t="shared" si="9"/>
        <v>3.7604467861998697E-2</v>
      </c>
    </row>
    <row r="137" spans="1:6" ht="15" customHeight="1" x14ac:dyDescent="0.2">
      <c r="A137" s="147">
        <v>5</v>
      </c>
      <c r="B137" s="169" t="s">
        <v>264</v>
      </c>
      <c r="C137" s="157">
        <v>38835409</v>
      </c>
      <c r="D137" s="157">
        <v>35168000</v>
      </c>
      <c r="E137" s="157">
        <f t="shared" si="8"/>
        <v>-3667409</v>
      </c>
      <c r="F137" s="161">
        <f t="shared" si="9"/>
        <v>-9.4434669144336805E-2</v>
      </c>
    </row>
    <row r="138" spans="1:6" ht="15" customHeight="1" x14ac:dyDescent="0.2">
      <c r="A138" s="147">
        <v>6</v>
      </c>
      <c r="B138" s="169" t="s">
        <v>265</v>
      </c>
      <c r="C138" s="157">
        <v>3976760</v>
      </c>
      <c r="D138" s="157">
        <v>3807000</v>
      </c>
      <c r="E138" s="157">
        <f t="shared" si="8"/>
        <v>-169760</v>
      </c>
      <c r="F138" s="161">
        <f t="shared" si="9"/>
        <v>-4.2688017380983517E-2</v>
      </c>
    </row>
    <row r="139" spans="1:6" ht="15" customHeight="1" x14ac:dyDescent="0.2">
      <c r="A139" s="147">
        <v>7</v>
      </c>
      <c r="B139" s="169" t="s">
        <v>266</v>
      </c>
      <c r="C139" s="157">
        <v>17383781</v>
      </c>
      <c r="D139" s="157">
        <v>14446000</v>
      </c>
      <c r="E139" s="157">
        <f t="shared" si="8"/>
        <v>-2937781</v>
      </c>
      <c r="F139" s="161">
        <f t="shared" si="9"/>
        <v>-0.16899551369175669</v>
      </c>
    </row>
    <row r="140" spans="1:6" ht="15" customHeight="1" x14ac:dyDescent="0.2">
      <c r="A140" s="147">
        <v>8</v>
      </c>
      <c r="B140" s="169" t="s">
        <v>267</v>
      </c>
      <c r="C140" s="157">
        <v>41861431</v>
      </c>
      <c r="D140" s="157">
        <v>40978000</v>
      </c>
      <c r="E140" s="157">
        <f t="shared" si="8"/>
        <v>-883431</v>
      </c>
      <c r="F140" s="161">
        <f t="shared" si="9"/>
        <v>-2.1103698055615919E-2</v>
      </c>
    </row>
    <row r="141" spans="1:6" ht="15" customHeight="1" x14ac:dyDescent="0.2">
      <c r="A141" s="147">
        <v>9</v>
      </c>
      <c r="B141" s="169" t="s">
        <v>268</v>
      </c>
      <c r="C141" s="157">
        <v>6128374</v>
      </c>
      <c r="D141" s="157">
        <v>5760000</v>
      </c>
      <c r="E141" s="157">
        <f t="shared" si="8"/>
        <v>-368374</v>
      </c>
      <c r="F141" s="161">
        <f t="shared" si="9"/>
        <v>-6.010958208490539E-2</v>
      </c>
    </row>
    <row r="142" spans="1:6" ht="15" customHeight="1" x14ac:dyDescent="0.2">
      <c r="A142" s="147">
        <v>10</v>
      </c>
      <c r="B142" s="169" t="s">
        <v>269</v>
      </c>
      <c r="C142" s="157">
        <v>75446385</v>
      </c>
      <c r="D142" s="157">
        <v>79079000</v>
      </c>
      <c r="E142" s="157">
        <f t="shared" si="8"/>
        <v>3632615</v>
      </c>
      <c r="F142" s="161">
        <f t="shared" si="9"/>
        <v>4.8148297628839341E-2</v>
      </c>
    </row>
    <row r="143" spans="1:6" ht="15" customHeight="1" x14ac:dyDescent="0.2">
      <c r="A143" s="147">
        <v>11</v>
      </c>
      <c r="B143" s="169" t="s">
        <v>270</v>
      </c>
      <c r="C143" s="157">
        <v>20130911</v>
      </c>
      <c r="D143" s="157">
        <v>19364000</v>
      </c>
      <c r="E143" s="157">
        <f t="shared" si="8"/>
        <v>-766911</v>
      </c>
      <c r="F143" s="161">
        <f t="shared" si="9"/>
        <v>-3.8096189486903999E-2</v>
      </c>
    </row>
    <row r="144" spans="1:6" ht="15" customHeight="1" x14ac:dyDescent="0.2">
      <c r="A144" s="147">
        <v>12</v>
      </c>
      <c r="B144" s="169" t="s">
        <v>271</v>
      </c>
      <c r="C144" s="157">
        <v>9747785</v>
      </c>
      <c r="D144" s="157">
        <v>9652000</v>
      </c>
      <c r="E144" s="157">
        <f t="shared" si="8"/>
        <v>-95785</v>
      </c>
      <c r="F144" s="161">
        <f t="shared" si="9"/>
        <v>-9.8263349058273237E-3</v>
      </c>
    </row>
    <row r="145" spans="1:6" ht="15" customHeight="1" x14ac:dyDescent="0.2">
      <c r="A145" s="147">
        <v>13</v>
      </c>
      <c r="B145" s="169" t="s">
        <v>272</v>
      </c>
      <c r="C145" s="157">
        <v>19727665</v>
      </c>
      <c r="D145" s="157">
        <v>21341000</v>
      </c>
      <c r="E145" s="157">
        <f t="shared" si="8"/>
        <v>1613335</v>
      </c>
      <c r="F145" s="161">
        <f t="shared" si="9"/>
        <v>8.1780332340396084E-2</v>
      </c>
    </row>
    <row r="146" spans="1:6" ht="15" customHeight="1" x14ac:dyDescent="0.2">
      <c r="A146" s="147">
        <v>14</v>
      </c>
      <c r="B146" s="169" t="s">
        <v>273</v>
      </c>
      <c r="C146" s="157">
        <v>4753665</v>
      </c>
      <c r="D146" s="157">
        <v>5000000</v>
      </c>
      <c r="E146" s="157">
        <f t="shared" si="8"/>
        <v>246335</v>
      </c>
      <c r="F146" s="161">
        <f t="shared" si="9"/>
        <v>5.1820016766011071E-2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16336969</v>
      </c>
      <c r="D150" s="157">
        <v>16145000</v>
      </c>
      <c r="E150" s="157">
        <f t="shared" si="8"/>
        <v>-191969</v>
      </c>
      <c r="F150" s="161">
        <f t="shared" si="9"/>
        <v>-1.1750588496556491E-2</v>
      </c>
    </row>
    <row r="151" spans="1:6" ht="15" customHeight="1" x14ac:dyDescent="0.2">
      <c r="A151" s="147">
        <v>19</v>
      </c>
      <c r="B151" s="169" t="s">
        <v>278</v>
      </c>
      <c r="C151" s="157">
        <v>3386502</v>
      </c>
      <c r="D151" s="157">
        <v>2742000</v>
      </c>
      <c r="E151" s="157">
        <f t="shared" si="8"/>
        <v>-644502</v>
      </c>
      <c r="F151" s="161">
        <f t="shared" si="9"/>
        <v>-0.19031496216449895</v>
      </c>
    </row>
    <row r="152" spans="1:6" ht="15" customHeight="1" x14ac:dyDescent="0.2">
      <c r="A152" s="147">
        <v>20</v>
      </c>
      <c r="B152" s="169" t="s">
        <v>279</v>
      </c>
      <c r="C152" s="157">
        <v>1191011</v>
      </c>
      <c r="D152" s="157">
        <v>1237000</v>
      </c>
      <c r="E152" s="157">
        <f t="shared" si="8"/>
        <v>45989</v>
      </c>
      <c r="F152" s="161">
        <f t="shared" si="9"/>
        <v>3.8613413310204521E-2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7268845</v>
      </c>
      <c r="D154" s="157">
        <v>7824000</v>
      </c>
      <c r="E154" s="157">
        <f t="shared" si="8"/>
        <v>555155</v>
      </c>
      <c r="F154" s="161">
        <f t="shared" si="9"/>
        <v>7.6374582206664196E-2</v>
      </c>
    </row>
    <row r="155" spans="1:6" ht="15" customHeight="1" x14ac:dyDescent="0.2">
      <c r="A155" s="147">
        <v>23</v>
      </c>
      <c r="B155" s="169" t="s">
        <v>282</v>
      </c>
      <c r="C155" s="157">
        <v>3888213</v>
      </c>
      <c r="D155" s="157">
        <v>3957000</v>
      </c>
      <c r="E155" s="157">
        <f t="shared" si="8"/>
        <v>68787</v>
      </c>
      <c r="F155" s="161">
        <f t="shared" si="9"/>
        <v>1.7691160437969835E-2</v>
      </c>
    </row>
    <row r="156" spans="1:6" ht="15" customHeight="1" x14ac:dyDescent="0.2">
      <c r="A156" s="147">
        <v>24</v>
      </c>
      <c r="B156" s="169" t="s">
        <v>283</v>
      </c>
      <c r="C156" s="157">
        <v>65786401</v>
      </c>
      <c r="D156" s="157">
        <v>65344000</v>
      </c>
      <c r="E156" s="157">
        <f t="shared" si="8"/>
        <v>-442401</v>
      </c>
      <c r="F156" s="161">
        <f t="shared" si="9"/>
        <v>-6.7248092808725015E-3</v>
      </c>
    </row>
    <row r="157" spans="1:6" ht="15" customHeight="1" x14ac:dyDescent="0.2">
      <c r="A157" s="147">
        <v>25</v>
      </c>
      <c r="B157" s="169" t="s">
        <v>284</v>
      </c>
      <c r="C157" s="157">
        <v>7590165</v>
      </c>
      <c r="D157" s="157">
        <v>6429000</v>
      </c>
      <c r="E157" s="157">
        <f t="shared" si="8"/>
        <v>-1161165</v>
      </c>
      <c r="F157" s="161">
        <f t="shared" si="9"/>
        <v>-0.15298284029398571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5171464</v>
      </c>
      <c r="D160" s="157">
        <v>2758000</v>
      </c>
      <c r="E160" s="157">
        <f t="shared" si="8"/>
        <v>-2413464</v>
      </c>
      <c r="F160" s="161">
        <f t="shared" si="9"/>
        <v>-0.46668873649705384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6341982</v>
      </c>
      <c r="D163" s="157">
        <v>6373000</v>
      </c>
      <c r="E163" s="157">
        <f t="shared" si="8"/>
        <v>31018</v>
      </c>
      <c r="F163" s="161">
        <f t="shared" si="9"/>
        <v>4.8909000372438774E-3</v>
      </c>
    </row>
    <row r="164" spans="1:6" ht="15" customHeight="1" x14ac:dyDescent="0.2">
      <c r="A164" s="147">
        <v>32</v>
      </c>
      <c r="B164" s="169" t="s">
        <v>291</v>
      </c>
      <c r="C164" s="157">
        <v>10619854</v>
      </c>
      <c r="D164" s="157">
        <v>12243000</v>
      </c>
      <c r="E164" s="157">
        <f t="shared" si="8"/>
        <v>1623146</v>
      </c>
      <c r="F164" s="161">
        <f t="shared" si="9"/>
        <v>0.15284070760294821</v>
      </c>
    </row>
    <row r="165" spans="1:6" ht="15" customHeight="1" x14ac:dyDescent="0.2">
      <c r="A165" s="147">
        <v>33</v>
      </c>
      <c r="B165" s="169" t="s">
        <v>292</v>
      </c>
      <c r="C165" s="157">
        <v>5643416</v>
      </c>
      <c r="D165" s="157">
        <v>5345000</v>
      </c>
      <c r="E165" s="157">
        <f t="shared" si="8"/>
        <v>-298416</v>
      </c>
      <c r="F165" s="161">
        <f t="shared" si="9"/>
        <v>-5.2878611110717337E-2</v>
      </c>
    </row>
    <row r="166" spans="1:6" ht="15" customHeight="1" x14ac:dyDescent="0.2">
      <c r="A166" s="147">
        <v>34</v>
      </c>
      <c r="B166" s="169" t="s">
        <v>293</v>
      </c>
      <c r="C166" s="157">
        <v>4255466</v>
      </c>
      <c r="D166" s="157">
        <v>5353000</v>
      </c>
      <c r="E166" s="157">
        <f t="shared" si="8"/>
        <v>1097534</v>
      </c>
      <c r="F166" s="161">
        <f t="shared" si="9"/>
        <v>0.25791158947104736</v>
      </c>
    </row>
    <row r="167" spans="1:6" ht="15.75" customHeight="1" x14ac:dyDescent="0.25">
      <c r="A167" s="147"/>
      <c r="B167" s="165" t="s">
        <v>294</v>
      </c>
      <c r="C167" s="158">
        <f>SUM(C133:C166)</f>
        <v>579201593</v>
      </c>
      <c r="D167" s="158">
        <f>SUM(D133:D166)</f>
        <v>579579000</v>
      </c>
      <c r="E167" s="158">
        <f t="shared" si="8"/>
        <v>377407</v>
      </c>
      <c r="F167" s="159">
        <f t="shared" si="9"/>
        <v>6.5159869130401369E-4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232259288</v>
      </c>
      <c r="D170" s="157">
        <v>228729000</v>
      </c>
      <c r="E170" s="157">
        <f t="shared" ref="E170:E183" si="10">D170-C170</f>
        <v>-3530288</v>
      </c>
      <c r="F170" s="161">
        <f t="shared" ref="F170:F183" si="11">IF(C170=0,0,E170/C170)</f>
        <v>-1.5199771042094988E-2</v>
      </c>
    </row>
    <row r="171" spans="1:6" ht="15" customHeight="1" x14ac:dyDescent="0.2">
      <c r="A171" s="147">
        <v>2</v>
      </c>
      <c r="B171" s="169" t="s">
        <v>297</v>
      </c>
      <c r="C171" s="157">
        <v>49785215</v>
      </c>
      <c r="D171" s="157">
        <v>51154000</v>
      </c>
      <c r="E171" s="157">
        <f t="shared" si="10"/>
        <v>1368785</v>
      </c>
      <c r="F171" s="161">
        <f t="shared" si="11"/>
        <v>2.7493805138734461E-2</v>
      </c>
    </row>
    <row r="172" spans="1:6" ht="15" customHeight="1" x14ac:dyDescent="0.2">
      <c r="A172" s="147">
        <v>3</v>
      </c>
      <c r="B172" s="169" t="s">
        <v>298</v>
      </c>
      <c r="C172" s="157">
        <v>5406131</v>
      </c>
      <c r="D172" s="157">
        <v>5389000</v>
      </c>
      <c r="E172" s="157">
        <f t="shared" si="10"/>
        <v>-17131</v>
      </c>
      <c r="F172" s="161">
        <f t="shared" si="11"/>
        <v>-3.1688096348386676E-3</v>
      </c>
    </row>
    <row r="173" spans="1:6" ht="15" customHeight="1" x14ac:dyDescent="0.2">
      <c r="A173" s="147">
        <v>4</v>
      </c>
      <c r="B173" s="169" t="s">
        <v>299</v>
      </c>
      <c r="C173" s="157">
        <v>26604983</v>
      </c>
      <c r="D173" s="157">
        <v>27868000</v>
      </c>
      <c r="E173" s="157">
        <f t="shared" si="10"/>
        <v>1263017</v>
      </c>
      <c r="F173" s="161">
        <f t="shared" si="11"/>
        <v>4.7472948958471428E-2</v>
      </c>
    </row>
    <row r="174" spans="1:6" ht="15" customHeight="1" x14ac:dyDescent="0.2">
      <c r="A174" s="147">
        <v>5</v>
      </c>
      <c r="B174" s="169" t="s">
        <v>300</v>
      </c>
      <c r="C174" s="157">
        <v>15875262</v>
      </c>
      <c r="D174" s="157">
        <v>13875000</v>
      </c>
      <c r="E174" s="157">
        <f t="shared" si="10"/>
        <v>-2000262</v>
      </c>
      <c r="F174" s="161">
        <f t="shared" si="11"/>
        <v>-0.12599867643129292</v>
      </c>
    </row>
    <row r="175" spans="1:6" ht="15" customHeight="1" x14ac:dyDescent="0.2">
      <c r="A175" s="147">
        <v>6</v>
      </c>
      <c r="B175" s="169" t="s">
        <v>301</v>
      </c>
      <c r="C175" s="157">
        <v>7618851</v>
      </c>
      <c r="D175" s="157">
        <v>7570000</v>
      </c>
      <c r="E175" s="157">
        <f t="shared" si="10"/>
        <v>-48851</v>
      </c>
      <c r="F175" s="161">
        <f t="shared" si="11"/>
        <v>-6.4118592160418942E-3</v>
      </c>
    </row>
    <row r="176" spans="1:6" ht="15" customHeight="1" x14ac:dyDescent="0.2">
      <c r="A176" s="147">
        <v>7</v>
      </c>
      <c r="B176" s="169" t="s">
        <v>302</v>
      </c>
      <c r="C176" s="157">
        <v>4669618</v>
      </c>
      <c r="D176" s="157">
        <v>4811000</v>
      </c>
      <c r="E176" s="157">
        <f t="shared" si="10"/>
        <v>141382</v>
      </c>
      <c r="F176" s="161">
        <f t="shared" si="11"/>
        <v>3.0276994820561339E-2</v>
      </c>
    </row>
    <row r="177" spans="1:6" ht="15" customHeight="1" x14ac:dyDescent="0.2">
      <c r="A177" s="147">
        <v>8</v>
      </c>
      <c r="B177" s="169" t="s">
        <v>303</v>
      </c>
      <c r="C177" s="157">
        <v>20007304</v>
      </c>
      <c r="D177" s="157">
        <v>21414000</v>
      </c>
      <c r="E177" s="157">
        <f t="shared" si="10"/>
        <v>1406696</v>
      </c>
      <c r="F177" s="161">
        <f t="shared" si="11"/>
        <v>7.0309123108240876E-2</v>
      </c>
    </row>
    <row r="178" spans="1:6" ht="15" customHeight="1" x14ac:dyDescent="0.2">
      <c r="A178" s="147">
        <v>9</v>
      </c>
      <c r="B178" s="169" t="s">
        <v>304</v>
      </c>
      <c r="C178" s="157">
        <v>4978763</v>
      </c>
      <c r="D178" s="157">
        <v>11989000</v>
      </c>
      <c r="E178" s="157">
        <f t="shared" si="10"/>
        <v>7010237</v>
      </c>
      <c r="F178" s="161">
        <f t="shared" si="11"/>
        <v>1.4080278575220391</v>
      </c>
    </row>
    <row r="179" spans="1:6" ht="15" customHeight="1" x14ac:dyDescent="0.2">
      <c r="A179" s="147">
        <v>10</v>
      </c>
      <c r="B179" s="169" t="s">
        <v>305</v>
      </c>
      <c r="C179" s="157">
        <v>12172991</v>
      </c>
      <c r="D179" s="157">
        <v>9503000</v>
      </c>
      <c r="E179" s="157">
        <f t="shared" si="10"/>
        <v>-2669991</v>
      </c>
      <c r="F179" s="161">
        <f t="shared" si="11"/>
        <v>-0.2193373017362783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240399774</v>
      </c>
      <c r="D181" s="157">
        <v>256238000</v>
      </c>
      <c r="E181" s="157">
        <f t="shared" si="10"/>
        <v>15838226</v>
      </c>
      <c r="F181" s="161">
        <f t="shared" si="11"/>
        <v>6.5882865597036711E-2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619778180</v>
      </c>
      <c r="D183" s="158">
        <f>SUM(D170:D182)</f>
        <v>638540000</v>
      </c>
      <c r="E183" s="158">
        <f t="shared" si="10"/>
        <v>18761820</v>
      </c>
      <c r="F183" s="159">
        <f t="shared" si="11"/>
        <v>3.0271830479737121E-2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170945171</v>
      </c>
      <c r="D186" s="157">
        <v>173961000</v>
      </c>
      <c r="E186" s="157">
        <f>D186-C186</f>
        <v>3015829</v>
      </c>
      <c r="F186" s="161">
        <f>IF(C186=0,0,E186/C186)</f>
        <v>1.7642083612879594E-2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2413364000</v>
      </c>
      <c r="D188" s="158">
        <f>+D186+D183+D167+D130+D121</f>
        <v>2580344000</v>
      </c>
      <c r="E188" s="158">
        <f>D188-C188</f>
        <v>166980000</v>
      </c>
      <c r="F188" s="159">
        <f>IF(C188=0,0,E188/C188)</f>
        <v>6.9189728528311525E-2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FILING&amp;RYALE-NEW HAVEN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2338353000</v>
      </c>
      <c r="D11" s="183">
        <v>2457989000</v>
      </c>
      <c r="E11" s="76">
        <v>2517314000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63551000</v>
      </c>
      <c r="D12" s="185">
        <v>68887000</v>
      </c>
      <c r="E12" s="185">
        <v>148970000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2401904000</v>
      </c>
      <c r="D13" s="76">
        <f>+D11+D12</f>
        <v>2526876000</v>
      </c>
      <c r="E13" s="76">
        <f>+E11+E12</f>
        <v>2666284000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2267358000</v>
      </c>
      <c r="D14" s="185">
        <v>2413364000</v>
      </c>
      <c r="E14" s="185">
        <v>2580344000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134546000</v>
      </c>
      <c r="D15" s="76">
        <f>+D13-D14</f>
        <v>113512000</v>
      </c>
      <c r="E15" s="76">
        <f>+E13-E14</f>
        <v>85940000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30156000</v>
      </c>
      <c r="D16" s="185">
        <v>-4161000</v>
      </c>
      <c r="E16" s="185">
        <v>74415000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164702000</v>
      </c>
      <c r="D17" s="76">
        <f>D15+D16</f>
        <v>109351000</v>
      </c>
      <c r="E17" s="76">
        <f>E15+E16</f>
        <v>160355000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5.5321825941794196E-2</v>
      </c>
      <c r="D20" s="189">
        <f>IF(+D27=0,0,+D24/+D27)</f>
        <v>4.4995966647044951E-2</v>
      </c>
      <c r="E20" s="189">
        <f>IF(+E27=0,0,+E24/+E27)</f>
        <v>3.1356964044574033E-2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1.2399365147241433E-2</v>
      </c>
      <c r="D21" s="189">
        <f>IF(D27=0,0,+D26/D27)</f>
        <v>-1.6494134295788466E-3</v>
      </c>
      <c r="E21" s="189">
        <f>IF(E27=0,0,+E26/E27)</f>
        <v>2.7151832433988554E-2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6.7721191089035626E-2</v>
      </c>
      <c r="D22" s="189">
        <f>IF(D27=0,0,+D28/D27)</f>
        <v>4.3346553217466104E-2</v>
      </c>
      <c r="E22" s="189">
        <f>IF(E27=0,0,+E28/E27)</f>
        <v>5.8508796478562587E-2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134546000</v>
      </c>
      <c r="D24" s="76">
        <f>+D15</f>
        <v>113512000</v>
      </c>
      <c r="E24" s="76">
        <f>+E15</f>
        <v>85940000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2401904000</v>
      </c>
      <c r="D25" s="76">
        <f>+D13</f>
        <v>2526876000</v>
      </c>
      <c r="E25" s="76">
        <f>+E13</f>
        <v>2666284000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30156000</v>
      </c>
      <c r="D26" s="76">
        <f>+D16</f>
        <v>-4161000</v>
      </c>
      <c r="E26" s="76">
        <f>+E16</f>
        <v>74415000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2432060000</v>
      </c>
      <c r="D27" s="76">
        <f>+D25+D26</f>
        <v>2522715000</v>
      </c>
      <c r="E27" s="76">
        <f>+E25+E26</f>
        <v>2740699000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164702000</v>
      </c>
      <c r="D28" s="76">
        <f>+D17</f>
        <v>109351000</v>
      </c>
      <c r="E28" s="76">
        <f>+E17</f>
        <v>160355000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1020378000</v>
      </c>
      <c r="D31" s="76">
        <v>1107165000</v>
      </c>
      <c r="E31" s="76">
        <v>1239508000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1120602000</v>
      </c>
      <c r="D32" s="76">
        <v>1224992000</v>
      </c>
      <c r="E32" s="76">
        <v>1342944000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102477000</v>
      </c>
      <c r="D33" s="76">
        <f>+D32-C32</f>
        <v>104390000</v>
      </c>
      <c r="E33" s="76">
        <f>+E32-D32</f>
        <v>117952000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1.1006</v>
      </c>
      <c r="D34" s="193">
        <f>IF(C32=0,0,+D33/C32)</f>
        <v>9.3155286176537261E-2</v>
      </c>
      <c r="E34" s="193">
        <f>IF(D32=0,0,+E33/D32)</f>
        <v>9.6287975758209035E-2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0.27030087686059229</v>
      </c>
      <c r="D38" s="195">
        <f>IF((D40+D41)=0,0,+D39/(D40+D41))</f>
        <v>0.2765477882002651</v>
      </c>
      <c r="E38" s="195">
        <f>IF((E40+E41)=0,0,+E39/(E40+E41))</f>
        <v>0.28993990917895479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2267358000</v>
      </c>
      <c r="D39" s="76">
        <v>2413364000</v>
      </c>
      <c r="E39" s="196">
        <v>2580344000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8384978567</v>
      </c>
      <c r="D40" s="76">
        <v>8723514793</v>
      </c>
      <c r="E40" s="196">
        <v>8895439581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3296108</v>
      </c>
      <c r="D41" s="76">
        <v>3237338</v>
      </c>
      <c r="E41" s="196">
        <v>4142430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1.6024629477231116</v>
      </c>
      <c r="D43" s="197">
        <f>IF(D38=0,0,IF((D46-D47)=0,0,((+D44-D45)/(D46-D47)/D38)))</f>
        <v>1.6415900697971879</v>
      </c>
      <c r="E43" s="197">
        <f>IF(E38=0,0,IF((E46-E47)=0,0,((+E44-E45)/(E46-E47)/E38)))</f>
        <v>1.6592407025205107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1311882701</v>
      </c>
      <c r="D44" s="76">
        <v>1423017092</v>
      </c>
      <c r="E44" s="196">
        <v>1572281656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22681195</v>
      </c>
      <c r="D45" s="76">
        <v>40312476</v>
      </c>
      <c r="E45" s="196">
        <v>103208374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3136982541</v>
      </c>
      <c r="D46" s="76">
        <v>3223176429</v>
      </c>
      <c r="E46" s="196">
        <v>3263448375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160623269</v>
      </c>
      <c r="D47" s="76">
        <v>177424647</v>
      </c>
      <c r="E47" s="76">
        <v>209750485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0.84413999169709486</v>
      </c>
      <c r="D49" s="198">
        <f>IF(D38=0,0,IF(D51=0,0,(D50/D51)/D38))</f>
        <v>0.89735242472006527</v>
      </c>
      <c r="E49" s="198">
        <f>IF(E38=0,0,IF(E51=0,0,(E50/E51)/E38))</f>
        <v>0.75703914525572824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777221051</v>
      </c>
      <c r="D50" s="199">
        <v>876223832</v>
      </c>
      <c r="E50" s="199">
        <v>800215208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3406297883</v>
      </c>
      <c r="D51" s="199">
        <v>3530870839</v>
      </c>
      <c r="E51" s="199">
        <v>3645696116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0.43973051785215833</v>
      </c>
      <c r="D53" s="198">
        <f>IF(D38=0,0,IF(D55=0,0,(D54/D55)/D38))</f>
        <v>0.4692491856987715</v>
      </c>
      <c r="E53" s="198">
        <f>IF(E38=0,0,IF(E55=0,0,(E54/E55)/E38))</f>
        <v>0.47643920158944669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213273241</v>
      </c>
      <c r="D54" s="199">
        <v>250393040</v>
      </c>
      <c r="E54" s="199">
        <v>266261176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1794329953</v>
      </c>
      <c r="D55" s="199">
        <v>1929516674</v>
      </c>
      <c r="E55" s="199">
        <v>1927491001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54368588.672616392</v>
      </c>
      <c r="D57" s="88">
        <f>+D60*D38</f>
        <v>48579767.214199565</v>
      </c>
      <c r="E57" s="88">
        <f>+E60*E38</f>
        <v>56321117.297921143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43211397</v>
      </c>
      <c r="D58" s="199">
        <v>41146000</v>
      </c>
      <c r="E58" s="199">
        <v>45213000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157929603</v>
      </c>
      <c r="D59" s="199">
        <v>134519000</v>
      </c>
      <c r="E59" s="199">
        <v>149038000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201141000</v>
      </c>
      <c r="D60" s="76">
        <v>175665000</v>
      </c>
      <c r="E60" s="201">
        <v>194251000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2.3978828518750189E-2</v>
      </c>
      <c r="D62" s="202">
        <f>IF(D63=0,0,+D57/D63)</f>
        <v>2.0129482006941167E-2</v>
      </c>
      <c r="E62" s="202">
        <f>IF(E63=0,0,+E57/E63)</f>
        <v>2.1826980161529293E-2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2267358000</v>
      </c>
      <c r="D63" s="199">
        <v>2413364000</v>
      </c>
      <c r="E63" s="199">
        <v>2580344000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3.4012409645934576</v>
      </c>
      <c r="D67" s="203">
        <f>IF(D69=0,0,D68/D69)</f>
        <v>3.450882979359581</v>
      </c>
      <c r="E67" s="203">
        <f>IF(E69=0,0,E68/E69)</f>
        <v>3.2279228154442259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1332579000</v>
      </c>
      <c r="D68" s="204">
        <v>1500368000</v>
      </c>
      <c r="E68" s="204">
        <v>1588690000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391792000</v>
      </c>
      <c r="D69" s="204">
        <v>434778000</v>
      </c>
      <c r="E69" s="204">
        <v>492171000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161.15229518629812</v>
      </c>
      <c r="D71" s="203">
        <f>IF((D77/365)=0,0,+D74/(D77/365))</f>
        <v>172.01769718251231</v>
      </c>
      <c r="E71" s="203">
        <f>IF((E77/365)=0,0,+E74/(E77/365))</f>
        <v>177.47721428431751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20955000</v>
      </c>
      <c r="D72" s="183">
        <v>101130000</v>
      </c>
      <c r="E72" s="183">
        <v>72250000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926009000</v>
      </c>
      <c r="D73" s="206">
        <v>980087000</v>
      </c>
      <c r="E73" s="206">
        <v>1121276000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946964000</v>
      </c>
      <c r="D74" s="204">
        <f>+D72+D73</f>
        <v>1081217000</v>
      </c>
      <c r="E74" s="204">
        <f>+E72+E73</f>
        <v>1193526000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2267358000</v>
      </c>
      <c r="D75" s="204">
        <f>+D14</f>
        <v>2413364000</v>
      </c>
      <c r="E75" s="204">
        <f>+E14</f>
        <v>2580344000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122543000</v>
      </c>
      <c r="D76" s="204">
        <v>119157000</v>
      </c>
      <c r="E76" s="204">
        <v>125736000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2144815000</v>
      </c>
      <c r="D77" s="204">
        <f>+D75-D76</f>
        <v>2294207000</v>
      </c>
      <c r="E77" s="204">
        <f>+E75-E76</f>
        <v>2454608000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40.518717661533564</v>
      </c>
      <c r="D79" s="203">
        <f>IF((D84/365)=0,0,+D83/(D84/365))</f>
        <v>42.577782081205406</v>
      </c>
      <c r="E79" s="203">
        <f>IF((E84/365)=0,0,+E83/(E84/365))</f>
        <v>36.830242472730859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259581000</v>
      </c>
      <c r="D80" s="212">
        <v>286728000</v>
      </c>
      <c r="E80" s="212">
        <v>254009000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0</v>
      </c>
      <c r="D82" s="212">
        <v>0</v>
      </c>
      <c r="E82" s="212">
        <v>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259581000</v>
      </c>
      <c r="D83" s="212">
        <f>+D80+D81-D82</f>
        <v>286728000</v>
      </c>
      <c r="E83" s="212">
        <f>+E80+E81-E82</f>
        <v>254009000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2338353000</v>
      </c>
      <c r="D84" s="204">
        <f>+D11</f>
        <v>2457989000</v>
      </c>
      <c r="E84" s="204">
        <f>+E11</f>
        <v>2517314000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66.674319230329885</v>
      </c>
      <c r="D86" s="203">
        <f>IF((D90/365)=0,0,+D87/(D90/365))</f>
        <v>69.171600470227844</v>
      </c>
      <c r="E86" s="203">
        <f>IF((E90/365)=0,0,+E87/(E90/365))</f>
        <v>73.185785673313219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391792000</v>
      </c>
      <c r="D87" s="76">
        <f>+D69</f>
        <v>434778000</v>
      </c>
      <c r="E87" s="76">
        <f>+E69</f>
        <v>492171000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2267358000</v>
      </c>
      <c r="D88" s="76">
        <f t="shared" si="0"/>
        <v>2413364000</v>
      </c>
      <c r="E88" s="76">
        <f t="shared" si="0"/>
        <v>2580344000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122543000</v>
      </c>
      <c r="D89" s="201">
        <f t="shared" si="0"/>
        <v>119157000</v>
      </c>
      <c r="E89" s="201">
        <f t="shared" si="0"/>
        <v>125736000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2144815000</v>
      </c>
      <c r="D90" s="76">
        <f>+D88-D89</f>
        <v>2294207000</v>
      </c>
      <c r="E90" s="76">
        <f>+E88-E89</f>
        <v>2454608000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38.105021550075236</v>
      </c>
      <c r="D94" s="214">
        <f>IF(D96=0,0,(D95/D96)*100)</f>
        <v>39.250927209080643</v>
      </c>
      <c r="E94" s="214">
        <f>IF(E96=0,0,(E95/E96)*100)</f>
        <v>40.274538053078231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1120602000</v>
      </c>
      <c r="D95" s="76">
        <f>+D32</f>
        <v>1224992000</v>
      </c>
      <c r="E95" s="76">
        <f>+E32</f>
        <v>1342944000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2940825000</v>
      </c>
      <c r="D96" s="76">
        <v>3120925000</v>
      </c>
      <c r="E96" s="76">
        <v>3334474000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23.11330585169086</v>
      </c>
      <c r="D98" s="214">
        <f>IF(D104=0,0,(D101/D104)*100)</f>
        <v>17.824670664661429</v>
      </c>
      <c r="E98" s="214">
        <f>IF(E104=0,0,(E101/E104)*100)</f>
        <v>21.831958077658893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164702000</v>
      </c>
      <c r="D99" s="76">
        <f>+D28</f>
        <v>109351000</v>
      </c>
      <c r="E99" s="76">
        <f>+E28</f>
        <v>160355000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122543000</v>
      </c>
      <c r="D100" s="201">
        <f>+D76</f>
        <v>119157000</v>
      </c>
      <c r="E100" s="201">
        <f>+E76</f>
        <v>125736000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287245000</v>
      </c>
      <c r="D101" s="76">
        <f>+D99+D100</f>
        <v>228508000</v>
      </c>
      <c r="E101" s="76">
        <f>+E99+E100</f>
        <v>286091000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391792000</v>
      </c>
      <c r="D102" s="204">
        <f>+D69</f>
        <v>434778000</v>
      </c>
      <c r="E102" s="204">
        <f>+E69</f>
        <v>492171000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850977000</v>
      </c>
      <c r="D103" s="216">
        <v>847198000</v>
      </c>
      <c r="E103" s="216">
        <v>818252000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1242769000</v>
      </c>
      <c r="D104" s="204">
        <f>+D102+D103</f>
        <v>1281976000</v>
      </c>
      <c r="E104" s="204">
        <f>+E102+E103</f>
        <v>1310423000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43.162206535979536</v>
      </c>
      <c r="D106" s="214">
        <f>IF(D109=0,0,(D107/D109)*100)</f>
        <v>40.884185330495754</v>
      </c>
      <c r="E106" s="214">
        <f>IF(E109=0,0,(E107/E109)*100)</f>
        <v>37.861073220568606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850977000</v>
      </c>
      <c r="D107" s="204">
        <f>+D103</f>
        <v>847198000</v>
      </c>
      <c r="E107" s="204">
        <f>+E103</f>
        <v>818252000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1120602000</v>
      </c>
      <c r="D108" s="204">
        <f>+D32</f>
        <v>1224992000</v>
      </c>
      <c r="E108" s="204">
        <f>+E32</f>
        <v>1342944000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1971579000</v>
      </c>
      <c r="D109" s="204">
        <f>+D107+D108</f>
        <v>2072190000</v>
      </c>
      <c r="E109" s="204">
        <f>+E107+E108</f>
        <v>2161196000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0.61230087084243123</v>
      </c>
      <c r="D111" s="214">
        <f>IF((+D113+D115)=0,0,((+D112+D113+D114)/(+D113+D115)))</f>
        <v>8.7989548760680751</v>
      </c>
      <c r="E111" s="214">
        <f>IF((+E113+E115)=0,0,((+E112+E113+E114)/(+E113+E115)))</f>
        <v>10.100991914099584</v>
      </c>
    </row>
    <row r="112" spans="1:6" ht="24" customHeight="1" x14ac:dyDescent="0.2">
      <c r="A112" s="85">
        <v>16</v>
      </c>
      <c r="B112" s="75" t="s">
        <v>373</v>
      </c>
      <c r="C112" s="218">
        <f>+C17</f>
        <v>164702000</v>
      </c>
      <c r="D112" s="76">
        <f>+D17</f>
        <v>109351000</v>
      </c>
      <c r="E112" s="76">
        <f>+E17</f>
        <v>160355000</v>
      </c>
    </row>
    <row r="113" spans="1:8" ht="24" customHeight="1" x14ac:dyDescent="0.2">
      <c r="A113" s="85">
        <v>17</v>
      </c>
      <c r="B113" s="75" t="s">
        <v>88</v>
      </c>
      <c r="C113" s="218">
        <v>23742000</v>
      </c>
      <c r="D113" s="76">
        <v>20696000</v>
      </c>
      <c r="E113" s="76">
        <v>22464000</v>
      </c>
    </row>
    <row r="114" spans="1:8" ht="24" customHeight="1" x14ac:dyDescent="0.2">
      <c r="A114" s="85">
        <v>18</v>
      </c>
      <c r="B114" s="75" t="s">
        <v>374</v>
      </c>
      <c r="C114" s="218">
        <v>122543000</v>
      </c>
      <c r="D114" s="76">
        <v>119157000</v>
      </c>
      <c r="E114" s="76">
        <v>125736000</v>
      </c>
    </row>
    <row r="115" spans="1:8" ht="24" customHeight="1" x14ac:dyDescent="0.2">
      <c r="A115" s="85">
        <v>19</v>
      </c>
      <c r="B115" s="75" t="s">
        <v>104</v>
      </c>
      <c r="C115" s="218">
        <v>484157000</v>
      </c>
      <c r="D115" s="76">
        <v>7626000</v>
      </c>
      <c r="E115" s="76">
        <v>8083000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6.0010853333115719</v>
      </c>
      <c r="D119" s="214">
        <f>IF(+D121=0,0,(+D120)/(+D121))</f>
        <v>6.7884136055791942</v>
      </c>
      <c r="E119" s="214">
        <f>IF(+E121=0,0,(+E120)/(+E121))</f>
        <v>7.0858942546287462</v>
      </c>
    </row>
    <row r="120" spans="1:8" ht="24" customHeight="1" x14ac:dyDescent="0.2">
      <c r="A120" s="85">
        <v>21</v>
      </c>
      <c r="B120" s="75" t="s">
        <v>378</v>
      </c>
      <c r="C120" s="218">
        <v>735391000</v>
      </c>
      <c r="D120" s="218">
        <v>808887000</v>
      </c>
      <c r="E120" s="218">
        <v>890952000</v>
      </c>
    </row>
    <row r="121" spans="1:8" ht="24" customHeight="1" x14ac:dyDescent="0.2">
      <c r="A121" s="85">
        <v>22</v>
      </c>
      <c r="B121" s="75" t="s">
        <v>374</v>
      </c>
      <c r="C121" s="218">
        <v>122543000</v>
      </c>
      <c r="D121" s="218">
        <v>119157000</v>
      </c>
      <c r="E121" s="218">
        <v>125736000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426515</v>
      </c>
      <c r="D124" s="218">
        <v>428640</v>
      </c>
      <c r="E124" s="218">
        <v>437574</v>
      </c>
    </row>
    <row r="125" spans="1:8" ht="24" customHeight="1" x14ac:dyDescent="0.2">
      <c r="A125" s="85">
        <v>2</v>
      </c>
      <c r="B125" s="75" t="s">
        <v>381</v>
      </c>
      <c r="C125" s="218">
        <v>78529</v>
      </c>
      <c r="D125" s="218">
        <v>78452</v>
      </c>
      <c r="E125" s="218">
        <v>79490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5.4313056323141771</v>
      </c>
      <c r="D126" s="219">
        <f>IF(D125=0,0,D124/D125)</f>
        <v>5.4637230408402591</v>
      </c>
      <c r="E126" s="219">
        <f>IF(E125=0,0,E124/E125)</f>
        <v>5.5047678953327459</v>
      </c>
    </row>
    <row r="127" spans="1:8" ht="24" customHeight="1" x14ac:dyDescent="0.2">
      <c r="A127" s="85">
        <v>4</v>
      </c>
      <c r="B127" s="75" t="s">
        <v>383</v>
      </c>
      <c r="C127" s="218">
        <v>1426</v>
      </c>
      <c r="D127" s="218">
        <v>1425</v>
      </c>
      <c r="E127" s="218">
        <v>1533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1522</v>
      </c>
      <c r="E128" s="218">
        <v>1594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1521</v>
      </c>
      <c r="D129" s="218">
        <v>1541</v>
      </c>
      <c r="E129" s="218">
        <v>1541</v>
      </c>
    </row>
    <row r="130" spans="1:7" ht="24" customHeight="1" x14ac:dyDescent="0.2">
      <c r="A130" s="85">
        <v>7</v>
      </c>
      <c r="B130" s="75" t="s">
        <v>386</v>
      </c>
      <c r="C130" s="193">
        <v>0.81940000000000002</v>
      </c>
      <c r="D130" s="193">
        <v>0.82410000000000005</v>
      </c>
      <c r="E130" s="193">
        <v>0.78200000000000003</v>
      </c>
    </row>
    <row r="131" spans="1:7" ht="24" customHeight="1" x14ac:dyDescent="0.2">
      <c r="A131" s="85">
        <v>8</v>
      </c>
      <c r="B131" s="75" t="s">
        <v>387</v>
      </c>
      <c r="C131" s="193">
        <v>0.76819999999999999</v>
      </c>
      <c r="D131" s="193">
        <v>0.77149999999999996</v>
      </c>
      <c r="E131" s="193">
        <v>0.752</v>
      </c>
    </row>
    <row r="132" spans="1:7" ht="24" customHeight="1" x14ac:dyDescent="0.2">
      <c r="A132" s="85">
        <v>9</v>
      </c>
      <c r="B132" s="75" t="s">
        <v>388</v>
      </c>
      <c r="C132" s="219">
        <v>10878.6</v>
      </c>
      <c r="D132" s="219">
        <v>10693.5</v>
      </c>
      <c r="E132" s="219">
        <v>10824.7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0.35496325342008472</v>
      </c>
      <c r="D135" s="227">
        <f>IF(D149=0,0,D143/D149)</f>
        <v>0.34914273137290935</v>
      </c>
      <c r="E135" s="227">
        <f>IF(E149=0,0,E143/E149)</f>
        <v>0.34328802553192228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0.40623811447841474</v>
      </c>
      <c r="D136" s="227">
        <f>IF(D149=0,0,D144/D149)</f>
        <v>0.40475323568354266</v>
      </c>
      <c r="E136" s="227">
        <f>IF(E149=0,0,E144/E149)</f>
        <v>0.4098387811870407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0.21399338575077362</v>
      </c>
      <c r="D137" s="227">
        <f>IF(D149=0,0,D145/D149)</f>
        <v>0.22118569404482466</v>
      </c>
      <c r="E137" s="227">
        <f>IF(E149=0,0,E145/E149)</f>
        <v>0.21668305241676622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1.9156073890534489E-2</v>
      </c>
      <c r="D139" s="227">
        <f>IF(D149=0,0,D147/D149)</f>
        <v>2.0338665229566719E-2</v>
      </c>
      <c r="E139" s="227">
        <f>IF(E149=0,0,E147/E149)</f>
        <v>2.3579552543756408E-2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5.6491724601924077E-3</v>
      </c>
      <c r="D140" s="227">
        <f>IF(D149=0,0,D148/D149)</f>
        <v>4.5796736691565785E-3</v>
      </c>
      <c r="E140" s="227">
        <f>IF(E149=0,0,E148/E149)</f>
        <v>6.6105883205143882E-3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2976359272</v>
      </c>
      <c r="D143" s="229">
        <f>+D46-D147</f>
        <v>3045751782</v>
      </c>
      <c r="E143" s="229">
        <f>+E46-E147</f>
        <v>3053697890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3406297883</v>
      </c>
      <c r="D144" s="229">
        <f>+D51</f>
        <v>3530870839</v>
      </c>
      <c r="E144" s="229">
        <f>+E51</f>
        <v>3645696116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1794329953</v>
      </c>
      <c r="D145" s="229">
        <f>+D55</f>
        <v>1929516674</v>
      </c>
      <c r="E145" s="229">
        <f>+E55</f>
        <v>1927491001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160623269</v>
      </c>
      <c r="D147" s="229">
        <f>+D47</f>
        <v>177424647</v>
      </c>
      <c r="E147" s="229">
        <f>+E47</f>
        <v>209750485</v>
      </c>
    </row>
    <row r="148" spans="1:7" ht="20.100000000000001" customHeight="1" x14ac:dyDescent="0.2">
      <c r="A148" s="226">
        <v>13</v>
      </c>
      <c r="B148" s="224" t="s">
        <v>402</v>
      </c>
      <c r="C148" s="230">
        <v>47368190</v>
      </c>
      <c r="D148" s="229">
        <v>39950851</v>
      </c>
      <c r="E148" s="229">
        <v>58804089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8384978567</v>
      </c>
      <c r="D149" s="229">
        <f>SUM(D143:D148)</f>
        <v>8723514793</v>
      </c>
      <c r="E149" s="229">
        <f>SUM(E143:E148)</f>
        <v>8895439581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0.55887887717275886</v>
      </c>
      <c r="D152" s="227">
        <f>IF(D166=0,0,D160/D166)</f>
        <v>0.54104112590320774</v>
      </c>
      <c r="E152" s="227">
        <f>IF(E166=0,0,E160/E166)</f>
        <v>0.55134195742287639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0.33693136897244019</v>
      </c>
      <c r="D153" s="227">
        <f>IF(D166=0,0,D161/D166)</f>
        <v>0.3428592941129685</v>
      </c>
      <c r="E153" s="227">
        <f>IF(E166=0,0,E161/E166)</f>
        <v>0.30032008923178699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9.2455608301992787E-2</v>
      </c>
      <c r="D154" s="227">
        <f>IF(D166=0,0,D162/D166)</f>
        <v>9.7976770101364102E-2</v>
      </c>
      <c r="E154" s="227">
        <f>IF(E166=0,0,E162/E166)</f>
        <v>9.9927593647133661E-2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9.8324743925147055E-3</v>
      </c>
      <c r="D156" s="227">
        <f>IF(D166=0,0,D164/D166)</f>
        <v>1.5773945606749926E-2</v>
      </c>
      <c r="E156" s="227">
        <f>IF(E166=0,0,E164/E166)</f>
        <v>3.8734015273985699E-2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1.901671160293389E-3</v>
      </c>
      <c r="D157" s="227">
        <f>IF(D166=0,0,D165/D166)</f>
        <v>2.348864275709712E-3</v>
      </c>
      <c r="E157" s="227">
        <f>IF(E166=0,0,E165/E166)</f>
        <v>9.6763444242172914E-3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0.99999999999999989</v>
      </c>
      <c r="D158" s="227">
        <f>SUM(D152:D157)</f>
        <v>0.99999999999999989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1289201506</v>
      </c>
      <c r="D160" s="229">
        <f>+D44-D164</f>
        <v>1382704616</v>
      </c>
      <c r="E160" s="229">
        <f>+E44-E164</f>
        <v>1469073282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777221051</v>
      </c>
      <c r="D161" s="229">
        <f>+D50</f>
        <v>876223832</v>
      </c>
      <c r="E161" s="229">
        <f>+E50</f>
        <v>800215208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213273241</v>
      </c>
      <c r="D162" s="229">
        <f>+D54</f>
        <v>250393040</v>
      </c>
      <c r="E162" s="229">
        <f>+E54</f>
        <v>266261176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22681195</v>
      </c>
      <c r="D164" s="229">
        <f>+D45</f>
        <v>40312476</v>
      </c>
      <c r="E164" s="229">
        <f>+E45</f>
        <v>103208374</v>
      </c>
    </row>
    <row r="165" spans="1:6" ht="20.100000000000001" customHeight="1" x14ac:dyDescent="0.2">
      <c r="A165" s="226">
        <v>13</v>
      </c>
      <c r="B165" s="224" t="s">
        <v>417</v>
      </c>
      <c r="C165" s="230">
        <v>4386706</v>
      </c>
      <c r="D165" s="229">
        <v>6002844</v>
      </c>
      <c r="E165" s="229">
        <v>25783017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2306763699</v>
      </c>
      <c r="D166" s="229">
        <f>SUM(D160:D165)</f>
        <v>2555636808</v>
      </c>
      <c r="E166" s="229">
        <f>SUM(E160:E165)</f>
        <v>2664541057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27468</v>
      </c>
      <c r="D169" s="218">
        <v>27712</v>
      </c>
      <c r="E169" s="218">
        <v>27552</v>
      </c>
    </row>
    <row r="170" spans="1:6" ht="20.100000000000001" customHeight="1" x14ac:dyDescent="0.2">
      <c r="A170" s="226">
        <v>2</v>
      </c>
      <c r="B170" s="224" t="s">
        <v>420</v>
      </c>
      <c r="C170" s="218">
        <v>28246</v>
      </c>
      <c r="D170" s="218">
        <v>28079</v>
      </c>
      <c r="E170" s="218">
        <v>28648</v>
      </c>
    </row>
    <row r="171" spans="1:6" ht="20.100000000000001" customHeight="1" x14ac:dyDescent="0.2">
      <c r="A171" s="226">
        <v>3</v>
      </c>
      <c r="B171" s="224" t="s">
        <v>421</v>
      </c>
      <c r="C171" s="218">
        <v>22415</v>
      </c>
      <c r="D171" s="218">
        <v>22248</v>
      </c>
      <c r="E171" s="218">
        <v>22682</v>
      </c>
    </row>
    <row r="172" spans="1:6" ht="20.100000000000001" customHeight="1" x14ac:dyDescent="0.2">
      <c r="A172" s="226">
        <v>4</v>
      </c>
      <c r="B172" s="224" t="s">
        <v>422</v>
      </c>
      <c r="C172" s="218">
        <v>22415</v>
      </c>
      <c r="D172" s="218">
        <v>22248</v>
      </c>
      <c r="E172" s="218">
        <v>22682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400</v>
      </c>
      <c r="D174" s="218">
        <v>413</v>
      </c>
      <c r="E174" s="218">
        <v>608</v>
      </c>
    </row>
    <row r="175" spans="1:6" ht="20.100000000000001" customHeight="1" x14ac:dyDescent="0.2">
      <c r="A175" s="226">
        <v>7</v>
      </c>
      <c r="B175" s="224" t="s">
        <v>425</v>
      </c>
      <c r="C175" s="218">
        <v>952</v>
      </c>
      <c r="D175" s="218">
        <v>1339</v>
      </c>
      <c r="E175" s="218">
        <v>1457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78529</v>
      </c>
      <c r="D176" s="218">
        <f>+D169+D170+D171+D174</f>
        <v>78452</v>
      </c>
      <c r="E176" s="218">
        <f>+E169+E170+E171+E174</f>
        <v>79490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1.4374499999999999</v>
      </c>
      <c r="D179" s="231">
        <v>1.47</v>
      </c>
      <c r="E179" s="231">
        <v>1.5076000000000001</v>
      </c>
    </row>
    <row r="180" spans="1:6" ht="20.100000000000001" customHeight="1" x14ac:dyDescent="0.2">
      <c r="A180" s="226">
        <v>2</v>
      </c>
      <c r="B180" s="224" t="s">
        <v>420</v>
      </c>
      <c r="C180" s="231">
        <v>1.7915000000000001</v>
      </c>
      <c r="D180" s="231">
        <v>1.81</v>
      </c>
      <c r="E180" s="231">
        <v>1.8504</v>
      </c>
    </row>
    <row r="181" spans="1:6" ht="20.100000000000001" customHeight="1" x14ac:dyDescent="0.2">
      <c r="A181" s="226">
        <v>3</v>
      </c>
      <c r="B181" s="224" t="s">
        <v>421</v>
      </c>
      <c r="C181" s="231">
        <v>1.2309300000000001</v>
      </c>
      <c r="D181" s="231">
        <v>1.27</v>
      </c>
      <c r="E181" s="231">
        <v>1.3186</v>
      </c>
    </row>
    <row r="182" spans="1:6" ht="20.100000000000001" customHeight="1" x14ac:dyDescent="0.2">
      <c r="A182" s="226">
        <v>4</v>
      </c>
      <c r="B182" s="224" t="s">
        <v>422</v>
      </c>
      <c r="C182" s="231">
        <v>1.2309300000000001</v>
      </c>
      <c r="D182" s="231">
        <v>1.27</v>
      </c>
      <c r="E182" s="231">
        <v>1.3186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1.4174100000000001</v>
      </c>
      <c r="D184" s="231">
        <v>1.32</v>
      </c>
      <c r="E184" s="231">
        <v>1.2335</v>
      </c>
    </row>
    <row r="185" spans="1:6" ht="20.100000000000001" customHeight="1" x14ac:dyDescent="0.2">
      <c r="A185" s="226">
        <v>7</v>
      </c>
      <c r="B185" s="224" t="s">
        <v>425</v>
      </c>
      <c r="C185" s="231">
        <v>1.55003</v>
      </c>
      <c r="D185" s="231">
        <v>1.6</v>
      </c>
      <c r="E185" s="231">
        <v>1.4764999999999999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1.5057469999999999</v>
      </c>
      <c r="D186" s="231">
        <v>1.5341830000000001</v>
      </c>
      <c r="E186" s="231">
        <v>1.5751170000000001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54292</v>
      </c>
      <c r="D189" s="218">
        <v>54844</v>
      </c>
      <c r="E189" s="218">
        <v>59825</v>
      </c>
    </row>
    <row r="190" spans="1:6" ht="20.100000000000001" customHeight="1" x14ac:dyDescent="0.2">
      <c r="A190" s="226">
        <v>2</v>
      </c>
      <c r="B190" s="224" t="s">
        <v>433</v>
      </c>
      <c r="C190" s="218">
        <v>142520</v>
      </c>
      <c r="D190" s="218">
        <v>152499</v>
      </c>
      <c r="E190" s="218">
        <v>152727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196812</v>
      </c>
      <c r="D191" s="218">
        <f>+D190+D189</f>
        <v>207343</v>
      </c>
      <c r="E191" s="218">
        <f>+E190+E189</f>
        <v>212552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FILING&amp;RYALE-NEW HAVEN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25342679</v>
      </c>
      <c r="D14" s="258">
        <v>70272118</v>
      </c>
      <c r="E14" s="258">
        <f t="shared" ref="E14:E24" si="0">D14-C14</f>
        <v>44929439</v>
      </c>
      <c r="F14" s="259">
        <f t="shared" ref="F14:F24" si="1">IF(C14=0,0,E14/C14)</f>
        <v>1.7728764587200903</v>
      </c>
    </row>
    <row r="15" spans="1:7" ht="20.25" customHeight="1" x14ac:dyDescent="0.3">
      <c r="A15" s="256">
        <v>2</v>
      </c>
      <c r="B15" s="257" t="s">
        <v>442</v>
      </c>
      <c r="C15" s="258">
        <v>8748422</v>
      </c>
      <c r="D15" s="258">
        <v>21631143</v>
      </c>
      <c r="E15" s="258">
        <f t="shared" si="0"/>
        <v>12882721</v>
      </c>
      <c r="F15" s="259">
        <f t="shared" si="1"/>
        <v>1.4725765400891726</v>
      </c>
    </row>
    <row r="16" spans="1:7" ht="20.25" customHeight="1" x14ac:dyDescent="0.3">
      <c r="A16" s="256">
        <v>3</v>
      </c>
      <c r="B16" s="257" t="s">
        <v>443</v>
      </c>
      <c r="C16" s="258">
        <v>17338259</v>
      </c>
      <c r="D16" s="258">
        <v>55538918</v>
      </c>
      <c r="E16" s="258">
        <f t="shared" si="0"/>
        <v>38200659</v>
      </c>
      <c r="F16" s="259">
        <f t="shared" si="1"/>
        <v>2.2032580664529235</v>
      </c>
    </row>
    <row r="17" spans="1:6" ht="20.25" customHeight="1" x14ac:dyDescent="0.3">
      <c r="A17" s="256">
        <v>4</v>
      </c>
      <c r="B17" s="257" t="s">
        <v>444</v>
      </c>
      <c r="C17" s="258">
        <v>2285690</v>
      </c>
      <c r="D17" s="258">
        <v>7644191</v>
      </c>
      <c r="E17" s="258">
        <f t="shared" si="0"/>
        <v>5358501</v>
      </c>
      <c r="F17" s="259">
        <f t="shared" si="1"/>
        <v>2.3443690964216497</v>
      </c>
    </row>
    <row r="18" spans="1:6" ht="20.25" customHeight="1" x14ac:dyDescent="0.3">
      <c r="A18" s="256">
        <v>5</v>
      </c>
      <c r="B18" s="257" t="s">
        <v>381</v>
      </c>
      <c r="C18" s="260">
        <v>401</v>
      </c>
      <c r="D18" s="260">
        <v>1261</v>
      </c>
      <c r="E18" s="260">
        <f t="shared" si="0"/>
        <v>860</v>
      </c>
      <c r="F18" s="259">
        <f t="shared" si="1"/>
        <v>2.144638403990025</v>
      </c>
    </row>
    <row r="19" spans="1:6" ht="20.25" customHeight="1" x14ac:dyDescent="0.3">
      <c r="A19" s="256">
        <v>6</v>
      </c>
      <c r="B19" s="257" t="s">
        <v>380</v>
      </c>
      <c r="C19" s="260">
        <v>2310</v>
      </c>
      <c r="D19" s="260">
        <v>7230</v>
      </c>
      <c r="E19" s="260">
        <f t="shared" si="0"/>
        <v>4920</v>
      </c>
      <c r="F19" s="259">
        <f t="shared" si="1"/>
        <v>2.1298701298701297</v>
      </c>
    </row>
    <row r="20" spans="1:6" ht="20.25" customHeight="1" x14ac:dyDescent="0.3">
      <c r="A20" s="256">
        <v>7</v>
      </c>
      <c r="B20" s="257" t="s">
        <v>445</v>
      </c>
      <c r="C20" s="260">
        <v>4543</v>
      </c>
      <c r="D20" s="260">
        <v>16330</v>
      </c>
      <c r="E20" s="260">
        <f t="shared" si="0"/>
        <v>11787</v>
      </c>
      <c r="F20" s="259">
        <f t="shared" si="1"/>
        <v>2.5945410521681707</v>
      </c>
    </row>
    <row r="21" spans="1:6" ht="20.25" customHeight="1" x14ac:dyDescent="0.3">
      <c r="A21" s="256">
        <v>8</v>
      </c>
      <c r="B21" s="257" t="s">
        <v>446</v>
      </c>
      <c r="C21" s="260">
        <v>349</v>
      </c>
      <c r="D21" s="260">
        <v>352</v>
      </c>
      <c r="E21" s="260">
        <f t="shared" si="0"/>
        <v>3</v>
      </c>
      <c r="F21" s="259">
        <f t="shared" si="1"/>
        <v>8.5959885386819486E-3</v>
      </c>
    </row>
    <row r="22" spans="1:6" ht="20.25" customHeight="1" x14ac:dyDescent="0.3">
      <c r="A22" s="256">
        <v>9</v>
      </c>
      <c r="B22" s="257" t="s">
        <v>447</v>
      </c>
      <c r="C22" s="260">
        <v>358</v>
      </c>
      <c r="D22" s="260">
        <v>962</v>
      </c>
      <c r="E22" s="260">
        <f t="shared" si="0"/>
        <v>604</v>
      </c>
      <c r="F22" s="259">
        <f t="shared" si="1"/>
        <v>1.6871508379888269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42680938</v>
      </c>
      <c r="D23" s="263">
        <f>+D14+D16</f>
        <v>125811036</v>
      </c>
      <c r="E23" s="263">
        <f t="shared" si="0"/>
        <v>83130098</v>
      </c>
      <c r="F23" s="264">
        <f t="shared" si="1"/>
        <v>1.9477101932483303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11034112</v>
      </c>
      <c r="D24" s="263">
        <f>+D15+D17</f>
        <v>29275334</v>
      </c>
      <c r="E24" s="263">
        <f t="shared" si="0"/>
        <v>18241222</v>
      </c>
      <c r="F24" s="264">
        <f t="shared" si="1"/>
        <v>1.6531662901373485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184462796</v>
      </c>
      <c r="D40" s="258">
        <v>175610502</v>
      </c>
      <c r="E40" s="258">
        <f t="shared" ref="E40:E50" si="4">D40-C40</f>
        <v>-8852294</v>
      </c>
      <c r="F40" s="259">
        <f t="shared" ref="F40:F50" si="5">IF(C40=0,0,E40/C40)</f>
        <v>-4.7989590269465504E-2</v>
      </c>
    </row>
    <row r="41" spans="1:6" ht="20.25" customHeight="1" x14ac:dyDescent="0.3">
      <c r="A41" s="256">
        <v>2</v>
      </c>
      <c r="B41" s="257" t="s">
        <v>442</v>
      </c>
      <c r="C41" s="258">
        <v>64208072</v>
      </c>
      <c r="D41" s="258">
        <v>53504007</v>
      </c>
      <c r="E41" s="258">
        <f t="shared" si="4"/>
        <v>-10704065</v>
      </c>
      <c r="F41" s="259">
        <f t="shared" si="5"/>
        <v>-0.16670902375016025</v>
      </c>
    </row>
    <row r="42" spans="1:6" ht="20.25" customHeight="1" x14ac:dyDescent="0.3">
      <c r="A42" s="256">
        <v>3</v>
      </c>
      <c r="B42" s="257" t="s">
        <v>443</v>
      </c>
      <c r="C42" s="258">
        <v>147543236</v>
      </c>
      <c r="D42" s="258">
        <v>158110975</v>
      </c>
      <c r="E42" s="258">
        <f t="shared" si="4"/>
        <v>10567739</v>
      </c>
      <c r="F42" s="259">
        <f t="shared" si="5"/>
        <v>7.1624693117073826E-2</v>
      </c>
    </row>
    <row r="43" spans="1:6" ht="20.25" customHeight="1" x14ac:dyDescent="0.3">
      <c r="A43" s="256">
        <v>4</v>
      </c>
      <c r="B43" s="257" t="s">
        <v>444</v>
      </c>
      <c r="C43" s="258">
        <v>20656682</v>
      </c>
      <c r="D43" s="258">
        <v>24091375</v>
      </c>
      <c r="E43" s="258">
        <f t="shared" si="4"/>
        <v>3434693</v>
      </c>
      <c r="F43" s="259">
        <f t="shared" si="5"/>
        <v>0.16627515493533762</v>
      </c>
    </row>
    <row r="44" spans="1:6" ht="20.25" customHeight="1" x14ac:dyDescent="0.3">
      <c r="A44" s="256">
        <v>5</v>
      </c>
      <c r="B44" s="257" t="s">
        <v>381</v>
      </c>
      <c r="C44" s="260">
        <v>2745</v>
      </c>
      <c r="D44" s="260">
        <v>2723</v>
      </c>
      <c r="E44" s="260">
        <f t="shared" si="4"/>
        <v>-22</v>
      </c>
      <c r="F44" s="259">
        <f t="shared" si="5"/>
        <v>-8.0145719489981785E-3</v>
      </c>
    </row>
    <row r="45" spans="1:6" ht="20.25" customHeight="1" x14ac:dyDescent="0.3">
      <c r="A45" s="256">
        <v>6</v>
      </c>
      <c r="B45" s="257" t="s">
        <v>380</v>
      </c>
      <c r="C45" s="260">
        <v>16207</v>
      </c>
      <c r="D45" s="260">
        <v>14903</v>
      </c>
      <c r="E45" s="260">
        <f t="shared" si="4"/>
        <v>-1304</v>
      </c>
      <c r="F45" s="259">
        <f t="shared" si="5"/>
        <v>-8.0459060899611273E-2</v>
      </c>
    </row>
    <row r="46" spans="1:6" ht="20.25" customHeight="1" x14ac:dyDescent="0.3">
      <c r="A46" s="256">
        <v>7</v>
      </c>
      <c r="B46" s="257" t="s">
        <v>445</v>
      </c>
      <c r="C46" s="260">
        <v>37777</v>
      </c>
      <c r="D46" s="260">
        <v>39144</v>
      </c>
      <c r="E46" s="260">
        <f t="shared" si="4"/>
        <v>1367</v>
      </c>
      <c r="F46" s="259">
        <f t="shared" si="5"/>
        <v>3.6186039124334914E-2</v>
      </c>
    </row>
    <row r="47" spans="1:6" ht="20.25" customHeight="1" x14ac:dyDescent="0.3">
      <c r="A47" s="256">
        <v>8</v>
      </c>
      <c r="B47" s="257" t="s">
        <v>446</v>
      </c>
      <c r="C47" s="260">
        <v>1957</v>
      </c>
      <c r="D47" s="260">
        <v>1968</v>
      </c>
      <c r="E47" s="260">
        <f t="shared" si="4"/>
        <v>11</v>
      </c>
      <c r="F47" s="259">
        <f t="shared" si="5"/>
        <v>5.620848237097598E-3</v>
      </c>
    </row>
    <row r="48" spans="1:6" ht="20.25" customHeight="1" x14ac:dyDescent="0.3">
      <c r="A48" s="256">
        <v>9</v>
      </c>
      <c r="B48" s="257" t="s">
        <v>447</v>
      </c>
      <c r="C48" s="260">
        <v>2170</v>
      </c>
      <c r="D48" s="260">
        <v>1713</v>
      </c>
      <c r="E48" s="260">
        <f t="shared" si="4"/>
        <v>-457</v>
      </c>
      <c r="F48" s="259">
        <f t="shared" si="5"/>
        <v>-0.21059907834101382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332006032</v>
      </c>
      <c r="D49" s="263">
        <f>+D40+D42</f>
        <v>333721477</v>
      </c>
      <c r="E49" s="263">
        <f t="shared" si="4"/>
        <v>1715445</v>
      </c>
      <c r="F49" s="264">
        <f t="shared" si="5"/>
        <v>5.1669091361568999E-3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84864754</v>
      </c>
      <c r="D50" s="263">
        <f>+D41+D43</f>
        <v>77595382</v>
      </c>
      <c r="E50" s="263">
        <f t="shared" si="4"/>
        <v>-7269372</v>
      </c>
      <c r="F50" s="264">
        <f t="shared" si="5"/>
        <v>-8.565831699694787E-2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84300554</v>
      </c>
      <c r="D53" s="258">
        <v>86899630</v>
      </c>
      <c r="E53" s="258">
        <f t="shared" ref="E53:E63" si="6">D53-C53</f>
        <v>2599076</v>
      </c>
      <c r="F53" s="259">
        <f t="shared" ref="F53:F63" si="7">IF(C53=0,0,E53/C53)</f>
        <v>3.0831066661792045E-2</v>
      </c>
    </row>
    <row r="54" spans="1:6" ht="20.25" customHeight="1" x14ac:dyDescent="0.3">
      <c r="A54" s="256">
        <v>2</v>
      </c>
      <c r="B54" s="257" t="s">
        <v>442</v>
      </c>
      <c r="C54" s="258">
        <v>27974116</v>
      </c>
      <c r="D54" s="258">
        <v>24168557</v>
      </c>
      <c r="E54" s="258">
        <f t="shared" si="6"/>
        <v>-3805559</v>
      </c>
      <c r="F54" s="259">
        <f t="shared" si="7"/>
        <v>-0.13603857937816516</v>
      </c>
    </row>
    <row r="55" spans="1:6" ht="20.25" customHeight="1" x14ac:dyDescent="0.3">
      <c r="A55" s="256">
        <v>3</v>
      </c>
      <c r="B55" s="257" t="s">
        <v>443</v>
      </c>
      <c r="C55" s="258">
        <v>31127320</v>
      </c>
      <c r="D55" s="258">
        <v>31561036</v>
      </c>
      <c r="E55" s="258">
        <f t="shared" si="6"/>
        <v>433716</v>
      </c>
      <c r="F55" s="259">
        <f t="shared" si="7"/>
        <v>1.3933612016710723E-2</v>
      </c>
    </row>
    <row r="56" spans="1:6" ht="20.25" customHeight="1" x14ac:dyDescent="0.3">
      <c r="A56" s="256">
        <v>4</v>
      </c>
      <c r="B56" s="257" t="s">
        <v>444</v>
      </c>
      <c r="C56" s="258">
        <v>3976665</v>
      </c>
      <c r="D56" s="258">
        <v>4637375</v>
      </c>
      <c r="E56" s="258">
        <f t="shared" si="6"/>
        <v>660710</v>
      </c>
      <c r="F56" s="259">
        <f t="shared" si="7"/>
        <v>0.16614675865329365</v>
      </c>
    </row>
    <row r="57" spans="1:6" ht="20.25" customHeight="1" x14ac:dyDescent="0.3">
      <c r="A57" s="256">
        <v>5</v>
      </c>
      <c r="B57" s="257" t="s">
        <v>381</v>
      </c>
      <c r="C57" s="260">
        <v>1205</v>
      </c>
      <c r="D57" s="260">
        <v>1241</v>
      </c>
      <c r="E57" s="260">
        <f t="shared" si="6"/>
        <v>36</v>
      </c>
      <c r="F57" s="259">
        <f t="shared" si="7"/>
        <v>2.9875518672199172E-2</v>
      </c>
    </row>
    <row r="58" spans="1:6" ht="20.25" customHeight="1" x14ac:dyDescent="0.3">
      <c r="A58" s="256">
        <v>6</v>
      </c>
      <c r="B58" s="257" t="s">
        <v>380</v>
      </c>
      <c r="C58" s="260">
        <v>7732</v>
      </c>
      <c r="D58" s="260">
        <v>8243</v>
      </c>
      <c r="E58" s="260">
        <f t="shared" si="6"/>
        <v>511</v>
      </c>
      <c r="F58" s="259">
        <f t="shared" si="7"/>
        <v>6.6088980858768756E-2</v>
      </c>
    </row>
    <row r="59" spans="1:6" ht="20.25" customHeight="1" x14ac:dyDescent="0.3">
      <c r="A59" s="256">
        <v>7</v>
      </c>
      <c r="B59" s="257" t="s">
        <v>445</v>
      </c>
      <c r="C59" s="260">
        <v>6100</v>
      </c>
      <c r="D59" s="260">
        <v>5775</v>
      </c>
      <c r="E59" s="260">
        <f t="shared" si="6"/>
        <v>-325</v>
      </c>
      <c r="F59" s="259">
        <f t="shared" si="7"/>
        <v>-5.3278688524590161E-2</v>
      </c>
    </row>
    <row r="60" spans="1:6" ht="20.25" customHeight="1" x14ac:dyDescent="0.3">
      <c r="A60" s="256">
        <v>8</v>
      </c>
      <c r="B60" s="257" t="s">
        <v>446</v>
      </c>
      <c r="C60" s="260">
        <v>959</v>
      </c>
      <c r="D60" s="260">
        <v>965</v>
      </c>
      <c r="E60" s="260">
        <f t="shared" si="6"/>
        <v>6</v>
      </c>
      <c r="F60" s="259">
        <f t="shared" si="7"/>
        <v>6.2565172054223151E-3</v>
      </c>
    </row>
    <row r="61" spans="1:6" ht="20.25" customHeight="1" x14ac:dyDescent="0.3">
      <c r="A61" s="256">
        <v>9</v>
      </c>
      <c r="B61" s="257" t="s">
        <v>447</v>
      </c>
      <c r="C61" s="260">
        <v>38</v>
      </c>
      <c r="D61" s="260">
        <v>369</v>
      </c>
      <c r="E61" s="260">
        <f t="shared" si="6"/>
        <v>331</v>
      </c>
      <c r="F61" s="259">
        <f t="shared" si="7"/>
        <v>8.7105263157894743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115427874</v>
      </c>
      <c r="D62" s="263">
        <f>+D53+D55</f>
        <v>118460666</v>
      </c>
      <c r="E62" s="263">
        <f t="shared" si="6"/>
        <v>3032792</v>
      </c>
      <c r="F62" s="264">
        <f t="shared" si="7"/>
        <v>2.6274346870496811E-2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31950781</v>
      </c>
      <c r="D63" s="263">
        <f>+D54+D56</f>
        <v>28805932</v>
      </c>
      <c r="E63" s="263">
        <f t="shared" si="6"/>
        <v>-3144849</v>
      </c>
      <c r="F63" s="264">
        <f t="shared" si="7"/>
        <v>-9.8427922622611325E-2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0</v>
      </c>
      <c r="D66" s="258">
        <v>0</v>
      </c>
      <c r="E66" s="258">
        <f t="shared" ref="E66:E76" si="8">D66-C66</f>
        <v>0</v>
      </c>
      <c r="F66" s="259">
        <f t="shared" ref="F66:F76" si="9">IF(C66=0,0,E66/C66)</f>
        <v>0</v>
      </c>
    </row>
    <row r="67" spans="1:6" ht="20.25" customHeight="1" x14ac:dyDescent="0.3">
      <c r="A67" s="256">
        <v>2</v>
      </c>
      <c r="B67" s="257" t="s">
        <v>442</v>
      </c>
      <c r="C67" s="258">
        <v>0</v>
      </c>
      <c r="D67" s="258">
        <v>0</v>
      </c>
      <c r="E67" s="258">
        <f t="shared" si="8"/>
        <v>0</v>
      </c>
      <c r="F67" s="259">
        <f t="shared" si="9"/>
        <v>0</v>
      </c>
    </row>
    <row r="68" spans="1:6" ht="20.25" customHeight="1" x14ac:dyDescent="0.3">
      <c r="A68" s="256">
        <v>3</v>
      </c>
      <c r="B68" s="257" t="s">
        <v>443</v>
      </c>
      <c r="C68" s="258">
        <v>0</v>
      </c>
      <c r="D68" s="258">
        <v>18341</v>
      </c>
      <c r="E68" s="258">
        <f t="shared" si="8"/>
        <v>18341</v>
      </c>
      <c r="F68" s="259">
        <f t="shared" si="9"/>
        <v>0</v>
      </c>
    </row>
    <row r="69" spans="1:6" ht="20.25" customHeight="1" x14ac:dyDescent="0.3">
      <c r="A69" s="256">
        <v>4</v>
      </c>
      <c r="B69" s="257" t="s">
        <v>444</v>
      </c>
      <c r="C69" s="258">
        <v>0</v>
      </c>
      <c r="D69" s="258">
        <v>13592</v>
      </c>
      <c r="E69" s="258">
        <f t="shared" si="8"/>
        <v>13592</v>
      </c>
      <c r="F69" s="259">
        <f t="shared" si="9"/>
        <v>0</v>
      </c>
    </row>
    <row r="70" spans="1:6" ht="20.25" customHeight="1" x14ac:dyDescent="0.3">
      <c r="A70" s="256">
        <v>5</v>
      </c>
      <c r="B70" s="257" t="s">
        <v>381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0</v>
      </c>
      <c r="D71" s="260">
        <v>0</v>
      </c>
      <c r="E71" s="260">
        <f t="shared" si="8"/>
        <v>0</v>
      </c>
      <c r="F71" s="259">
        <f t="shared" si="9"/>
        <v>0</v>
      </c>
    </row>
    <row r="72" spans="1:6" ht="20.25" customHeight="1" x14ac:dyDescent="0.3">
      <c r="A72" s="256">
        <v>7</v>
      </c>
      <c r="B72" s="257" t="s">
        <v>445</v>
      </c>
      <c r="C72" s="260">
        <v>0</v>
      </c>
      <c r="D72" s="260">
        <v>0</v>
      </c>
      <c r="E72" s="260">
        <f t="shared" si="8"/>
        <v>0</v>
      </c>
      <c r="F72" s="259">
        <f t="shared" si="9"/>
        <v>0</v>
      </c>
    </row>
    <row r="73" spans="1:6" ht="20.25" customHeight="1" x14ac:dyDescent="0.3">
      <c r="A73" s="256">
        <v>8</v>
      </c>
      <c r="B73" s="257" t="s">
        <v>446</v>
      </c>
      <c r="C73" s="260">
        <v>0</v>
      </c>
      <c r="D73" s="260">
        <v>0</v>
      </c>
      <c r="E73" s="260">
        <f t="shared" si="8"/>
        <v>0</v>
      </c>
      <c r="F73" s="259">
        <f t="shared" si="9"/>
        <v>0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0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0</v>
      </c>
      <c r="D75" s="263">
        <f>+D66+D68</f>
        <v>18341</v>
      </c>
      <c r="E75" s="263">
        <f t="shared" si="8"/>
        <v>18341</v>
      </c>
      <c r="F75" s="264">
        <f t="shared" si="9"/>
        <v>0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0</v>
      </c>
      <c r="D76" s="263">
        <f>+D67+D69</f>
        <v>13592</v>
      </c>
      <c r="E76" s="263">
        <f t="shared" si="8"/>
        <v>13592</v>
      </c>
      <c r="F76" s="264">
        <f t="shared" si="9"/>
        <v>0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2636980</v>
      </c>
      <c r="D92" s="258">
        <v>2503900</v>
      </c>
      <c r="E92" s="258">
        <f t="shared" ref="E92:E102" si="12">D92-C92</f>
        <v>-133080</v>
      </c>
      <c r="F92" s="259">
        <f t="shared" ref="F92:F102" si="13">IF(C92=0,0,E92/C92)</f>
        <v>-5.0466821894743226E-2</v>
      </c>
    </row>
    <row r="93" spans="1:6" ht="20.25" customHeight="1" x14ac:dyDescent="0.3">
      <c r="A93" s="256">
        <v>2</v>
      </c>
      <c r="B93" s="257" t="s">
        <v>442</v>
      </c>
      <c r="C93" s="258">
        <v>1094766</v>
      </c>
      <c r="D93" s="258">
        <v>893537</v>
      </c>
      <c r="E93" s="258">
        <f t="shared" si="12"/>
        <v>-201229</v>
      </c>
      <c r="F93" s="259">
        <f t="shared" si="13"/>
        <v>-0.18381005621292587</v>
      </c>
    </row>
    <row r="94" spans="1:6" ht="20.25" customHeight="1" x14ac:dyDescent="0.3">
      <c r="A94" s="256">
        <v>3</v>
      </c>
      <c r="B94" s="257" t="s">
        <v>443</v>
      </c>
      <c r="C94" s="258">
        <v>292870</v>
      </c>
      <c r="D94" s="258">
        <v>722784</v>
      </c>
      <c r="E94" s="258">
        <f t="shared" si="12"/>
        <v>429914</v>
      </c>
      <c r="F94" s="259">
        <f t="shared" si="13"/>
        <v>1.4679345784819202</v>
      </c>
    </row>
    <row r="95" spans="1:6" ht="20.25" customHeight="1" x14ac:dyDescent="0.3">
      <c r="A95" s="256">
        <v>4</v>
      </c>
      <c r="B95" s="257" t="s">
        <v>444</v>
      </c>
      <c r="C95" s="258">
        <v>51478</v>
      </c>
      <c r="D95" s="258">
        <v>112201</v>
      </c>
      <c r="E95" s="258">
        <f t="shared" si="12"/>
        <v>60723</v>
      </c>
      <c r="F95" s="259">
        <f t="shared" si="13"/>
        <v>1.1795912817125762</v>
      </c>
    </row>
    <row r="96" spans="1:6" ht="20.25" customHeight="1" x14ac:dyDescent="0.3">
      <c r="A96" s="256">
        <v>5</v>
      </c>
      <c r="B96" s="257" t="s">
        <v>381</v>
      </c>
      <c r="C96" s="260">
        <v>26</v>
      </c>
      <c r="D96" s="260">
        <v>31</v>
      </c>
      <c r="E96" s="260">
        <f t="shared" si="12"/>
        <v>5</v>
      </c>
      <c r="F96" s="259">
        <f t="shared" si="13"/>
        <v>0.19230769230769232</v>
      </c>
    </row>
    <row r="97" spans="1:6" ht="20.25" customHeight="1" x14ac:dyDescent="0.3">
      <c r="A97" s="256">
        <v>6</v>
      </c>
      <c r="B97" s="257" t="s">
        <v>380</v>
      </c>
      <c r="C97" s="260">
        <v>522</v>
      </c>
      <c r="D97" s="260">
        <v>425</v>
      </c>
      <c r="E97" s="260">
        <f t="shared" si="12"/>
        <v>-97</v>
      </c>
      <c r="F97" s="259">
        <f t="shared" si="13"/>
        <v>-0.18582375478927204</v>
      </c>
    </row>
    <row r="98" spans="1:6" ht="20.25" customHeight="1" x14ac:dyDescent="0.3">
      <c r="A98" s="256">
        <v>7</v>
      </c>
      <c r="B98" s="257" t="s">
        <v>445</v>
      </c>
      <c r="C98" s="260">
        <v>40</v>
      </c>
      <c r="D98" s="260">
        <v>126</v>
      </c>
      <c r="E98" s="260">
        <f t="shared" si="12"/>
        <v>86</v>
      </c>
      <c r="F98" s="259">
        <f t="shared" si="13"/>
        <v>2.15</v>
      </c>
    </row>
    <row r="99" spans="1:6" ht="20.25" customHeight="1" x14ac:dyDescent="0.3">
      <c r="A99" s="256">
        <v>8</v>
      </c>
      <c r="B99" s="257" t="s">
        <v>446</v>
      </c>
      <c r="C99" s="260">
        <v>7</v>
      </c>
      <c r="D99" s="260">
        <v>7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25</v>
      </c>
      <c r="D100" s="260">
        <v>45</v>
      </c>
      <c r="E100" s="260">
        <f t="shared" si="12"/>
        <v>20</v>
      </c>
      <c r="F100" s="259">
        <f t="shared" si="13"/>
        <v>0.8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2929850</v>
      </c>
      <c r="D101" s="263">
        <f>+D92+D94</f>
        <v>3226684</v>
      </c>
      <c r="E101" s="263">
        <f t="shared" si="12"/>
        <v>296834</v>
      </c>
      <c r="F101" s="264">
        <f t="shared" si="13"/>
        <v>0.10131371913237879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1146244</v>
      </c>
      <c r="D102" s="263">
        <f>+D93+D95</f>
        <v>1005738</v>
      </c>
      <c r="E102" s="263">
        <f t="shared" si="12"/>
        <v>-140506</v>
      </c>
      <c r="F102" s="264">
        <f t="shared" si="13"/>
        <v>-0.1225794856941454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63870307</v>
      </c>
      <c r="D105" s="258">
        <v>35673729</v>
      </c>
      <c r="E105" s="258">
        <f t="shared" ref="E105:E115" si="14">D105-C105</f>
        <v>-28196578</v>
      </c>
      <c r="F105" s="259">
        <f t="shared" ref="F105:F115" si="15">IF(C105=0,0,E105/C105)</f>
        <v>-0.44146614169241427</v>
      </c>
    </row>
    <row r="106" spans="1:6" ht="20.25" customHeight="1" x14ac:dyDescent="0.3">
      <c r="A106" s="256">
        <v>2</v>
      </c>
      <c r="B106" s="257" t="s">
        <v>442</v>
      </c>
      <c r="C106" s="258">
        <v>26124523</v>
      </c>
      <c r="D106" s="258">
        <v>10029850</v>
      </c>
      <c r="E106" s="258">
        <f t="shared" si="14"/>
        <v>-16094673</v>
      </c>
      <c r="F106" s="259">
        <f t="shared" si="15"/>
        <v>-0.61607528681002133</v>
      </c>
    </row>
    <row r="107" spans="1:6" ht="20.25" customHeight="1" x14ac:dyDescent="0.3">
      <c r="A107" s="256">
        <v>3</v>
      </c>
      <c r="B107" s="257" t="s">
        <v>443</v>
      </c>
      <c r="C107" s="258">
        <v>40869618</v>
      </c>
      <c r="D107" s="258">
        <v>22084649</v>
      </c>
      <c r="E107" s="258">
        <f t="shared" si="14"/>
        <v>-18784969</v>
      </c>
      <c r="F107" s="259">
        <f t="shared" si="15"/>
        <v>-0.45963162660340989</v>
      </c>
    </row>
    <row r="108" spans="1:6" ht="20.25" customHeight="1" x14ac:dyDescent="0.3">
      <c r="A108" s="256">
        <v>4</v>
      </c>
      <c r="B108" s="257" t="s">
        <v>444</v>
      </c>
      <c r="C108" s="258">
        <v>5215135</v>
      </c>
      <c r="D108" s="258">
        <v>3085632</v>
      </c>
      <c r="E108" s="258">
        <f t="shared" si="14"/>
        <v>-2129503</v>
      </c>
      <c r="F108" s="259">
        <f t="shared" si="15"/>
        <v>-0.40833132795220067</v>
      </c>
    </row>
    <row r="109" spans="1:6" ht="20.25" customHeight="1" x14ac:dyDescent="0.3">
      <c r="A109" s="256">
        <v>5</v>
      </c>
      <c r="B109" s="257" t="s">
        <v>381</v>
      </c>
      <c r="C109" s="260">
        <v>1029</v>
      </c>
      <c r="D109" s="260">
        <v>530</v>
      </c>
      <c r="E109" s="260">
        <f t="shared" si="14"/>
        <v>-499</v>
      </c>
      <c r="F109" s="259">
        <f t="shared" si="15"/>
        <v>-0.48493683187560738</v>
      </c>
    </row>
    <row r="110" spans="1:6" ht="20.25" customHeight="1" x14ac:dyDescent="0.3">
      <c r="A110" s="256">
        <v>6</v>
      </c>
      <c r="B110" s="257" t="s">
        <v>380</v>
      </c>
      <c r="C110" s="260">
        <v>5971</v>
      </c>
      <c r="D110" s="260">
        <v>3435</v>
      </c>
      <c r="E110" s="260">
        <f t="shared" si="14"/>
        <v>-2536</v>
      </c>
      <c r="F110" s="259">
        <f t="shared" si="15"/>
        <v>-0.42471947747445987</v>
      </c>
    </row>
    <row r="111" spans="1:6" ht="20.25" customHeight="1" x14ac:dyDescent="0.3">
      <c r="A111" s="256">
        <v>7</v>
      </c>
      <c r="B111" s="257" t="s">
        <v>445</v>
      </c>
      <c r="C111" s="260">
        <v>12153</v>
      </c>
      <c r="D111" s="260">
        <v>4306</v>
      </c>
      <c r="E111" s="260">
        <f t="shared" si="14"/>
        <v>-7847</v>
      </c>
      <c r="F111" s="259">
        <f t="shared" si="15"/>
        <v>-0.64568419320332426</v>
      </c>
    </row>
    <row r="112" spans="1:6" ht="20.25" customHeight="1" x14ac:dyDescent="0.3">
      <c r="A112" s="256">
        <v>8</v>
      </c>
      <c r="B112" s="257" t="s">
        <v>446</v>
      </c>
      <c r="C112" s="260">
        <v>1725</v>
      </c>
      <c r="D112" s="260">
        <v>1728</v>
      </c>
      <c r="E112" s="260">
        <f t="shared" si="14"/>
        <v>3</v>
      </c>
      <c r="F112" s="259">
        <f t="shared" si="15"/>
        <v>1.7391304347826088E-3</v>
      </c>
    </row>
    <row r="113" spans="1:6" ht="20.25" customHeight="1" x14ac:dyDescent="0.3">
      <c r="A113" s="256">
        <v>9</v>
      </c>
      <c r="B113" s="257" t="s">
        <v>447</v>
      </c>
      <c r="C113" s="260">
        <v>1007</v>
      </c>
      <c r="D113" s="260">
        <v>832</v>
      </c>
      <c r="E113" s="260">
        <f t="shared" si="14"/>
        <v>-175</v>
      </c>
      <c r="F113" s="259">
        <f t="shared" si="15"/>
        <v>-0.17378351539225423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104739925</v>
      </c>
      <c r="D114" s="263">
        <f>+D105+D107</f>
        <v>57758378</v>
      </c>
      <c r="E114" s="263">
        <f t="shared" si="14"/>
        <v>-46981547</v>
      </c>
      <c r="F114" s="264">
        <f t="shared" si="15"/>
        <v>-0.44855433112063048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31339658</v>
      </c>
      <c r="D115" s="263">
        <f>+D106+D108</f>
        <v>13115482</v>
      </c>
      <c r="E115" s="263">
        <f t="shared" si="14"/>
        <v>-18224176</v>
      </c>
      <c r="F115" s="264">
        <f t="shared" si="15"/>
        <v>-0.58150526084234866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101552289</v>
      </c>
      <c r="D118" s="258">
        <v>96753767</v>
      </c>
      <c r="E118" s="258">
        <f t="shared" ref="E118:E128" si="16">D118-C118</f>
        <v>-4798522</v>
      </c>
      <c r="F118" s="259">
        <f t="shared" ref="F118:F128" si="17">IF(C118=0,0,E118/C118)</f>
        <v>-4.7251736492123775E-2</v>
      </c>
    </row>
    <row r="119" spans="1:6" ht="20.25" customHeight="1" x14ac:dyDescent="0.3">
      <c r="A119" s="256">
        <v>2</v>
      </c>
      <c r="B119" s="257" t="s">
        <v>442</v>
      </c>
      <c r="C119" s="258">
        <v>34047925</v>
      </c>
      <c r="D119" s="258">
        <v>28380868</v>
      </c>
      <c r="E119" s="258">
        <f t="shared" si="16"/>
        <v>-5667057</v>
      </c>
      <c r="F119" s="259">
        <f t="shared" si="17"/>
        <v>-0.16644353510529644</v>
      </c>
    </row>
    <row r="120" spans="1:6" ht="20.25" customHeight="1" x14ac:dyDescent="0.3">
      <c r="A120" s="256">
        <v>3</v>
      </c>
      <c r="B120" s="257" t="s">
        <v>443</v>
      </c>
      <c r="C120" s="258">
        <v>92551917</v>
      </c>
      <c r="D120" s="258">
        <v>104077164</v>
      </c>
      <c r="E120" s="258">
        <f t="shared" si="16"/>
        <v>11525247</v>
      </c>
      <c r="F120" s="259">
        <f t="shared" si="17"/>
        <v>0.12452737202623258</v>
      </c>
    </row>
    <row r="121" spans="1:6" ht="20.25" customHeight="1" x14ac:dyDescent="0.3">
      <c r="A121" s="256">
        <v>4</v>
      </c>
      <c r="B121" s="257" t="s">
        <v>444</v>
      </c>
      <c r="C121" s="258">
        <v>12954983</v>
      </c>
      <c r="D121" s="258">
        <v>16524777</v>
      </c>
      <c r="E121" s="258">
        <f t="shared" si="16"/>
        <v>3569794</v>
      </c>
      <c r="F121" s="259">
        <f t="shared" si="17"/>
        <v>0.27555373866565475</v>
      </c>
    </row>
    <row r="122" spans="1:6" ht="20.25" customHeight="1" x14ac:dyDescent="0.3">
      <c r="A122" s="256">
        <v>5</v>
      </c>
      <c r="B122" s="257" t="s">
        <v>381</v>
      </c>
      <c r="C122" s="260">
        <v>1412</v>
      </c>
      <c r="D122" s="260">
        <v>1492</v>
      </c>
      <c r="E122" s="260">
        <f t="shared" si="16"/>
        <v>80</v>
      </c>
      <c r="F122" s="259">
        <f t="shared" si="17"/>
        <v>5.6657223796033995E-2</v>
      </c>
    </row>
    <row r="123" spans="1:6" ht="20.25" customHeight="1" x14ac:dyDescent="0.3">
      <c r="A123" s="256">
        <v>6</v>
      </c>
      <c r="B123" s="257" t="s">
        <v>380</v>
      </c>
      <c r="C123" s="260">
        <v>9278</v>
      </c>
      <c r="D123" s="260">
        <v>8784</v>
      </c>
      <c r="E123" s="260">
        <f t="shared" si="16"/>
        <v>-494</v>
      </c>
      <c r="F123" s="259">
        <f t="shared" si="17"/>
        <v>-5.3244233671049794E-2</v>
      </c>
    </row>
    <row r="124" spans="1:6" ht="20.25" customHeight="1" x14ac:dyDescent="0.3">
      <c r="A124" s="256">
        <v>7</v>
      </c>
      <c r="B124" s="257" t="s">
        <v>445</v>
      </c>
      <c r="C124" s="260">
        <v>21971</v>
      </c>
      <c r="D124" s="260">
        <v>25034</v>
      </c>
      <c r="E124" s="260">
        <f t="shared" si="16"/>
        <v>3063</v>
      </c>
      <c r="F124" s="259">
        <f t="shared" si="17"/>
        <v>0.13941104182786401</v>
      </c>
    </row>
    <row r="125" spans="1:6" ht="20.25" customHeight="1" x14ac:dyDescent="0.3">
      <c r="A125" s="256">
        <v>8</v>
      </c>
      <c r="B125" s="257" t="s">
        <v>446</v>
      </c>
      <c r="C125" s="260">
        <v>1494</v>
      </c>
      <c r="D125" s="260">
        <v>1503</v>
      </c>
      <c r="E125" s="260">
        <f t="shared" si="16"/>
        <v>9</v>
      </c>
      <c r="F125" s="259">
        <f t="shared" si="17"/>
        <v>6.024096385542169E-3</v>
      </c>
    </row>
    <row r="126" spans="1:6" ht="20.25" customHeight="1" x14ac:dyDescent="0.3">
      <c r="A126" s="256">
        <v>9</v>
      </c>
      <c r="B126" s="257" t="s">
        <v>447</v>
      </c>
      <c r="C126" s="260">
        <v>1300</v>
      </c>
      <c r="D126" s="260">
        <v>1004</v>
      </c>
      <c r="E126" s="260">
        <f t="shared" si="16"/>
        <v>-296</v>
      </c>
      <c r="F126" s="259">
        <f t="shared" si="17"/>
        <v>-0.22769230769230769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194104206</v>
      </c>
      <c r="D127" s="263">
        <f>+D118+D120</f>
        <v>200830931</v>
      </c>
      <c r="E127" s="263">
        <f t="shared" si="16"/>
        <v>6726725</v>
      </c>
      <c r="F127" s="264">
        <f t="shared" si="17"/>
        <v>3.4655225348388378E-2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47002908</v>
      </c>
      <c r="D128" s="263">
        <f>+D119+D121</f>
        <v>44905645</v>
      </c>
      <c r="E128" s="263">
        <f t="shared" si="16"/>
        <v>-2097263</v>
      </c>
      <c r="F128" s="264">
        <f t="shared" si="17"/>
        <v>-4.4619856286338709E-2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2394787</v>
      </c>
      <c r="D131" s="258">
        <v>3585102</v>
      </c>
      <c r="E131" s="258">
        <f t="shared" ref="E131:E141" si="18">D131-C131</f>
        <v>1190315</v>
      </c>
      <c r="F131" s="259">
        <f t="shared" ref="F131:F141" si="19">IF(C131=0,0,E131/C131)</f>
        <v>0.4970442047664364</v>
      </c>
    </row>
    <row r="132" spans="1:6" ht="20.25" customHeight="1" x14ac:dyDescent="0.3">
      <c r="A132" s="256">
        <v>2</v>
      </c>
      <c r="B132" s="257" t="s">
        <v>442</v>
      </c>
      <c r="C132" s="258">
        <v>733981</v>
      </c>
      <c r="D132" s="258">
        <v>1021189</v>
      </c>
      <c r="E132" s="258">
        <f t="shared" si="18"/>
        <v>287208</v>
      </c>
      <c r="F132" s="259">
        <f t="shared" si="19"/>
        <v>0.39130168219613315</v>
      </c>
    </row>
    <row r="133" spans="1:6" ht="20.25" customHeight="1" x14ac:dyDescent="0.3">
      <c r="A133" s="256">
        <v>3</v>
      </c>
      <c r="B133" s="257" t="s">
        <v>443</v>
      </c>
      <c r="C133" s="258">
        <v>1475230</v>
      </c>
      <c r="D133" s="258">
        <v>2392215</v>
      </c>
      <c r="E133" s="258">
        <f t="shared" si="18"/>
        <v>916985</v>
      </c>
      <c r="F133" s="259">
        <f t="shared" si="19"/>
        <v>0.62158782020430714</v>
      </c>
    </row>
    <row r="134" spans="1:6" ht="20.25" customHeight="1" x14ac:dyDescent="0.3">
      <c r="A134" s="256">
        <v>4</v>
      </c>
      <c r="B134" s="257" t="s">
        <v>444</v>
      </c>
      <c r="C134" s="258">
        <v>196380</v>
      </c>
      <c r="D134" s="258">
        <v>322885</v>
      </c>
      <c r="E134" s="258">
        <f t="shared" si="18"/>
        <v>126505</v>
      </c>
      <c r="F134" s="259">
        <f t="shared" si="19"/>
        <v>0.64418474386393731</v>
      </c>
    </row>
    <row r="135" spans="1:6" ht="20.25" customHeight="1" x14ac:dyDescent="0.3">
      <c r="A135" s="256">
        <v>5</v>
      </c>
      <c r="B135" s="257" t="s">
        <v>381</v>
      </c>
      <c r="C135" s="260">
        <v>38</v>
      </c>
      <c r="D135" s="260">
        <v>65</v>
      </c>
      <c r="E135" s="260">
        <f t="shared" si="18"/>
        <v>27</v>
      </c>
      <c r="F135" s="259">
        <f t="shared" si="19"/>
        <v>0.71052631578947367</v>
      </c>
    </row>
    <row r="136" spans="1:6" ht="20.25" customHeight="1" x14ac:dyDescent="0.3">
      <c r="A136" s="256">
        <v>6</v>
      </c>
      <c r="B136" s="257" t="s">
        <v>380</v>
      </c>
      <c r="C136" s="260">
        <v>247</v>
      </c>
      <c r="D136" s="260">
        <v>350</v>
      </c>
      <c r="E136" s="260">
        <f t="shared" si="18"/>
        <v>103</v>
      </c>
      <c r="F136" s="259">
        <f t="shared" si="19"/>
        <v>0.41700404858299595</v>
      </c>
    </row>
    <row r="137" spans="1:6" ht="20.25" customHeight="1" x14ac:dyDescent="0.3">
      <c r="A137" s="256">
        <v>7</v>
      </c>
      <c r="B137" s="257" t="s">
        <v>445</v>
      </c>
      <c r="C137" s="260">
        <v>337</v>
      </c>
      <c r="D137" s="260">
        <v>364</v>
      </c>
      <c r="E137" s="260">
        <f t="shared" si="18"/>
        <v>27</v>
      </c>
      <c r="F137" s="259">
        <f t="shared" si="19"/>
        <v>8.0118694362017809E-2</v>
      </c>
    </row>
    <row r="138" spans="1:6" ht="20.25" customHeight="1" x14ac:dyDescent="0.3">
      <c r="A138" s="256">
        <v>8</v>
      </c>
      <c r="B138" s="257" t="s">
        <v>446</v>
      </c>
      <c r="C138" s="260">
        <v>46</v>
      </c>
      <c r="D138" s="260">
        <v>44</v>
      </c>
      <c r="E138" s="260">
        <f t="shared" si="18"/>
        <v>-2</v>
      </c>
      <c r="F138" s="259">
        <f t="shared" si="19"/>
        <v>-4.3478260869565216E-2</v>
      </c>
    </row>
    <row r="139" spans="1:6" ht="20.25" customHeight="1" x14ac:dyDescent="0.3">
      <c r="A139" s="256">
        <v>9</v>
      </c>
      <c r="B139" s="257" t="s">
        <v>447</v>
      </c>
      <c r="C139" s="260">
        <v>36</v>
      </c>
      <c r="D139" s="260">
        <v>58</v>
      </c>
      <c r="E139" s="260">
        <f t="shared" si="18"/>
        <v>22</v>
      </c>
      <c r="F139" s="259">
        <f t="shared" si="19"/>
        <v>0.61111111111111116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3870017</v>
      </c>
      <c r="D140" s="263">
        <f>+D131+D133</f>
        <v>5977317</v>
      </c>
      <c r="E140" s="263">
        <f t="shared" si="18"/>
        <v>2107300</v>
      </c>
      <c r="F140" s="264">
        <f t="shared" si="19"/>
        <v>0.54451957187784961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930361</v>
      </c>
      <c r="D141" s="263">
        <f>+D132+D134</f>
        <v>1344074</v>
      </c>
      <c r="E141" s="263">
        <f t="shared" si="18"/>
        <v>413713</v>
      </c>
      <c r="F141" s="264">
        <f t="shared" si="19"/>
        <v>0.44468007579853414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464560392</v>
      </c>
      <c r="D198" s="263">
        <f t="shared" si="28"/>
        <v>471298748</v>
      </c>
      <c r="E198" s="263">
        <f t="shared" ref="E198:E208" si="29">D198-C198</f>
        <v>6738356</v>
      </c>
      <c r="F198" s="273">
        <f t="shared" ref="F198:F208" si="30">IF(C198=0,0,E198/C198)</f>
        <v>1.4504800917250819E-2</v>
      </c>
    </row>
    <row r="199" spans="1:9" ht="20.25" customHeight="1" x14ac:dyDescent="0.3">
      <c r="A199" s="271"/>
      <c r="B199" s="272" t="s">
        <v>466</v>
      </c>
      <c r="C199" s="263">
        <f t="shared" si="28"/>
        <v>162931805</v>
      </c>
      <c r="D199" s="263">
        <f t="shared" si="28"/>
        <v>139629151</v>
      </c>
      <c r="E199" s="263">
        <f t="shared" si="29"/>
        <v>-23302654</v>
      </c>
      <c r="F199" s="273">
        <f t="shared" si="30"/>
        <v>-0.14302090374558854</v>
      </c>
    </row>
    <row r="200" spans="1:9" ht="20.25" customHeight="1" x14ac:dyDescent="0.3">
      <c r="A200" s="271"/>
      <c r="B200" s="272" t="s">
        <v>467</v>
      </c>
      <c r="C200" s="263">
        <f t="shared" si="28"/>
        <v>331198450</v>
      </c>
      <c r="D200" s="263">
        <f t="shared" si="28"/>
        <v>374506082</v>
      </c>
      <c r="E200" s="263">
        <f t="shared" si="29"/>
        <v>43307632</v>
      </c>
      <c r="F200" s="273">
        <f t="shared" si="30"/>
        <v>0.13076037040632285</v>
      </c>
    </row>
    <row r="201" spans="1:9" ht="20.25" customHeight="1" x14ac:dyDescent="0.3">
      <c r="A201" s="271"/>
      <c r="B201" s="272" t="s">
        <v>468</v>
      </c>
      <c r="C201" s="263">
        <f t="shared" si="28"/>
        <v>45337013</v>
      </c>
      <c r="D201" s="263">
        <f t="shared" si="28"/>
        <v>56432028</v>
      </c>
      <c r="E201" s="263">
        <f t="shared" si="29"/>
        <v>11095015</v>
      </c>
      <c r="F201" s="273">
        <f t="shared" si="30"/>
        <v>0.24472311398194671</v>
      </c>
    </row>
    <row r="202" spans="1:9" ht="20.25" customHeight="1" x14ac:dyDescent="0.3">
      <c r="A202" s="271"/>
      <c r="B202" s="272" t="s">
        <v>138</v>
      </c>
      <c r="C202" s="274">
        <f t="shared" si="28"/>
        <v>6856</v>
      </c>
      <c r="D202" s="274">
        <f t="shared" si="28"/>
        <v>7343</v>
      </c>
      <c r="E202" s="274">
        <f t="shared" si="29"/>
        <v>487</v>
      </c>
      <c r="F202" s="273">
        <f t="shared" si="30"/>
        <v>7.1032672112018663E-2</v>
      </c>
    </row>
    <row r="203" spans="1:9" ht="20.25" customHeight="1" x14ac:dyDescent="0.3">
      <c r="A203" s="271"/>
      <c r="B203" s="272" t="s">
        <v>140</v>
      </c>
      <c r="C203" s="274">
        <f t="shared" si="28"/>
        <v>42267</v>
      </c>
      <c r="D203" s="274">
        <f t="shared" si="28"/>
        <v>43370</v>
      </c>
      <c r="E203" s="274">
        <f t="shared" si="29"/>
        <v>1103</v>
      </c>
      <c r="F203" s="273">
        <f t="shared" si="30"/>
        <v>2.6096008706555943E-2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82921</v>
      </c>
      <c r="D204" s="274">
        <f t="shared" si="28"/>
        <v>91079</v>
      </c>
      <c r="E204" s="274">
        <f t="shared" si="29"/>
        <v>8158</v>
      </c>
      <c r="F204" s="273">
        <f t="shared" si="30"/>
        <v>9.83827980849242E-2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6537</v>
      </c>
      <c r="D205" s="274">
        <f t="shared" si="28"/>
        <v>6567</v>
      </c>
      <c r="E205" s="274">
        <f t="shared" si="29"/>
        <v>30</v>
      </c>
      <c r="F205" s="273">
        <f t="shared" si="30"/>
        <v>4.589261128958238E-3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4934</v>
      </c>
      <c r="D206" s="274">
        <f t="shared" si="28"/>
        <v>4983</v>
      </c>
      <c r="E206" s="274">
        <f t="shared" si="29"/>
        <v>49</v>
      </c>
      <c r="F206" s="273">
        <f t="shared" si="30"/>
        <v>9.931090393190109E-3</v>
      </c>
    </row>
    <row r="207" spans="1:9" ht="20.25" customHeight="1" x14ac:dyDescent="0.3">
      <c r="A207" s="271"/>
      <c r="B207" s="262" t="s">
        <v>471</v>
      </c>
      <c r="C207" s="263">
        <f>+C198+C200</f>
        <v>795758842</v>
      </c>
      <c r="D207" s="263">
        <f>+D198+D200</f>
        <v>845804830</v>
      </c>
      <c r="E207" s="263">
        <f t="shared" si="29"/>
        <v>50045988</v>
      </c>
      <c r="F207" s="273">
        <f t="shared" si="30"/>
        <v>6.2890897792876807E-2</v>
      </c>
    </row>
    <row r="208" spans="1:9" ht="20.25" customHeight="1" x14ac:dyDescent="0.3">
      <c r="A208" s="271"/>
      <c r="B208" s="262" t="s">
        <v>472</v>
      </c>
      <c r="C208" s="263">
        <f>+C199+C201</f>
        <v>208268818</v>
      </c>
      <c r="D208" s="263">
        <f>+D199+D201</f>
        <v>196061179</v>
      </c>
      <c r="E208" s="263">
        <f t="shared" si="29"/>
        <v>-12207639</v>
      </c>
      <c r="F208" s="273">
        <f t="shared" si="30"/>
        <v>-5.8614818661908381E-2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6" fitToHeight="0" orientation="portrait" horizontalDpi="1200" verticalDpi="1200" r:id="rId1"/>
  <headerFooter>
    <oddHeader>&amp;LOFFICE OF HEALTH CARE ACCESS&amp;CTWELVE MONTHS ACTUAL FILING&amp;RYALE-NEW HAVEN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6" fitToHeight="0" orientation="portrait" horizontalDpi="1200" verticalDpi="1200" r:id="rId1"/>
  <headerFooter>
    <oddHeader>&amp;LOFFICE OF HEALTH CARE ACCESS&amp;CTWELVE MONTHS ACTUAL FILING&amp;RYALE-NEW HAVEN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194946000</v>
      </c>
      <c r="D13" s="22">
        <v>169479000</v>
      </c>
      <c r="E13" s="22">
        <f t="shared" ref="E13:E22" si="0">D13-C13</f>
        <v>-25467000</v>
      </c>
      <c r="F13" s="306">
        <f t="shared" ref="F13:F22" si="1">IF(C13=0,0,E13/C13)</f>
        <v>-0.13063617617186299</v>
      </c>
    </row>
    <row r="14" spans="1:8" ht="24" customHeight="1" x14ac:dyDescent="0.2">
      <c r="A14" s="304">
        <v>2</v>
      </c>
      <c r="B14" s="305" t="s">
        <v>17</v>
      </c>
      <c r="C14" s="22">
        <v>1160670000</v>
      </c>
      <c r="D14" s="22">
        <v>1371905000</v>
      </c>
      <c r="E14" s="22">
        <f t="shared" si="0"/>
        <v>211235000</v>
      </c>
      <c r="F14" s="306">
        <f t="shared" si="1"/>
        <v>0.18199402069494344</v>
      </c>
    </row>
    <row r="15" spans="1:8" ht="35.1" customHeight="1" x14ac:dyDescent="0.2">
      <c r="A15" s="304">
        <v>3</v>
      </c>
      <c r="B15" s="305" t="s">
        <v>18</v>
      </c>
      <c r="C15" s="22">
        <v>405694000</v>
      </c>
      <c r="D15" s="22">
        <v>370868000</v>
      </c>
      <c r="E15" s="22">
        <f t="shared" si="0"/>
        <v>-34826000</v>
      </c>
      <c r="F15" s="306">
        <f t="shared" si="1"/>
        <v>-8.5843024545593477E-2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45816000</v>
      </c>
      <c r="D19" s="22">
        <v>47064000</v>
      </c>
      <c r="E19" s="22">
        <f t="shared" si="0"/>
        <v>1248000</v>
      </c>
      <c r="F19" s="306">
        <f t="shared" si="1"/>
        <v>2.7239392352016764E-2</v>
      </c>
    </row>
    <row r="20" spans="1:11" ht="24" customHeight="1" x14ac:dyDescent="0.2">
      <c r="A20" s="304">
        <v>8</v>
      </c>
      <c r="B20" s="305" t="s">
        <v>23</v>
      </c>
      <c r="C20" s="22">
        <v>25580000</v>
      </c>
      <c r="D20" s="22">
        <v>34938000</v>
      </c>
      <c r="E20" s="22">
        <f t="shared" si="0"/>
        <v>9358000</v>
      </c>
      <c r="F20" s="306">
        <f t="shared" si="1"/>
        <v>0.36583268178264267</v>
      </c>
    </row>
    <row r="21" spans="1:11" ht="24" customHeight="1" x14ac:dyDescent="0.2">
      <c r="A21" s="304">
        <v>9</v>
      </c>
      <c r="B21" s="305" t="s">
        <v>24</v>
      </c>
      <c r="C21" s="22">
        <v>57779000</v>
      </c>
      <c r="D21" s="22">
        <v>52599000</v>
      </c>
      <c r="E21" s="22">
        <f t="shared" si="0"/>
        <v>-5180000</v>
      </c>
      <c r="F21" s="306">
        <f t="shared" si="1"/>
        <v>-8.9651949670295439E-2</v>
      </c>
    </row>
    <row r="22" spans="1:11" ht="24" customHeight="1" x14ac:dyDescent="0.25">
      <c r="A22" s="307"/>
      <c r="B22" s="308" t="s">
        <v>25</v>
      </c>
      <c r="C22" s="309">
        <f>SUM(C13:C21)</f>
        <v>1890485000</v>
      </c>
      <c r="D22" s="309">
        <f>SUM(D13:D21)</f>
        <v>2046853000</v>
      </c>
      <c r="E22" s="309">
        <f t="shared" si="0"/>
        <v>156368000</v>
      </c>
      <c r="F22" s="310">
        <f t="shared" si="1"/>
        <v>8.271316619809202E-2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30531000</v>
      </c>
      <c r="D25" s="22">
        <v>18342000</v>
      </c>
      <c r="E25" s="22">
        <f>D25-C25</f>
        <v>-12189000</v>
      </c>
      <c r="F25" s="306">
        <f>IF(C25=0,0,E25/C25)</f>
        <v>-0.39923356588385578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96951000</v>
      </c>
      <c r="D26" s="22">
        <v>83216000</v>
      </c>
      <c r="E26" s="22">
        <f>D26-C26</f>
        <v>-13735000</v>
      </c>
      <c r="F26" s="306">
        <f>IF(C26=0,0,E26/C26)</f>
        <v>-0.14166950315107632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78837000</v>
      </c>
      <c r="D28" s="22">
        <v>85175000</v>
      </c>
      <c r="E28" s="22">
        <f>D28-C28</f>
        <v>6338000</v>
      </c>
      <c r="F28" s="306">
        <f>IF(C28=0,0,E28/C28)</f>
        <v>8.0393723759148619E-2</v>
      </c>
    </row>
    <row r="29" spans="1:11" ht="35.1" customHeight="1" x14ac:dyDescent="0.25">
      <c r="A29" s="307"/>
      <c r="B29" s="308" t="s">
        <v>32</v>
      </c>
      <c r="C29" s="309">
        <f>SUM(C25:C28)</f>
        <v>206319000</v>
      </c>
      <c r="D29" s="309">
        <f>SUM(D25:D28)</f>
        <v>186733000</v>
      </c>
      <c r="E29" s="309">
        <f>D29-C29</f>
        <v>-19586000</v>
      </c>
      <c r="F29" s="310">
        <f>IF(C29=0,0,E29/C29)</f>
        <v>-9.4930665619744184E-2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420800000</v>
      </c>
      <c r="D32" s="22">
        <v>538193000</v>
      </c>
      <c r="E32" s="22">
        <f>D32-C32</f>
        <v>117393000</v>
      </c>
      <c r="F32" s="306">
        <f>IF(C32=0,0,E32/C32)</f>
        <v>0.27897576045627376</v>
      </c>
    </row>
    <row r="33" spans="1:8" ht="24" customHeight="1" x14ac:dyDescent="0.2">
      <c r="A33" s="304">
        <v>7</v>
      </c>
      <c r="B33" s="305" t="s">
        <v>35</v>
      </c>
      <c r="C33" s="22">
        <v>421351000</v>
      </c>
      <c r="D33" s="22">
        <v>695367000</v>
      </c>
      <c r="E33" s="22">
        <f>D33-C33</f>
        <v>274016000</v>
      </c>
      <c r="F33" s="306">
        <f>IF(C33=0,0,E33/C33)</f>
        <v>0.65032716191488804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2940033000</v>
      </c>
      <c r="D36" s="22">
        <v>3227815000</v>
      </c>
      <c r="E36" s="22">
        <f>D36-C36</f>
        <v>287782000</v>
      </c>
      <c r="F36" s="306">
        <f>IF(C36=0,0,E36/C36)</f>
        <v>9.7883935316372295E-2</v>
      </c>
    </row>
    <row r="37" spans="1:8" ht="24" customHeight="1" x14ac:dyDescent="0.2">
      <c r="A37" s="304">
        <v>2</v>
      </c>
      <c r="B37" s="305" t="s">
        <v>39</v>
      </c>
      <c r="C37" s="22">
        <v>1551286000</v>
      </c>
      <c r="D37" s="22">
        <v>1720124000</v>
      </c>
      <c r="E37" s="22">
        <f>D37-C37</f>
        <v>168838000</v>
      </c>
      <c r="F37" s="22">
        <f>IF(C37=0,0,E37/C37)</f>
        <v>0.10883744196750308</v>
      </c>
    </row>
    <row r="38" spans="1:8" ht="24" customHeight="1" x14ac:dyDescent="0.25">
      <c r="A38" s="307"/>
      <c r="B38" s="308" t="s">
        <v>40</v>
      </c>
      <c r="C38" s="309">
        <f>C36-C37</f>
        <v>1388747000</v>
      </c>
      <c r="D38" s="309">
        <f>D36-D37</f>
        <v>1507691000</v>
      </c>
      <c r="E38" s="309">
        <f>D38-C38</f>
        <v>118944000</v>
      </c>
      <c r="F38" s="310">
        <f>IF(C38=0,0,E38/C38)</f>
        <v>8.5648429843592819E-2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157101000</v>
      </c>
      <c r="D40" s="22">
        <v>112959000</v>
      </c>
      <c r="E40" s="22">
        <f>D40-C40</f>
        <v>-44142000</v>
      </c>
      <c r="F40" s="306">
        <f>IF(C40=0,0,E40/C40)</f>
        <v>-0.28097847881299293</v>
      </c>
    </row>
    <row r="41" spans="1:8" ht="24" customHeight="1" x14ac:dyDescent="0.25">
      <c r="A41" s="307"/>
      <c r="B41" s="308" t="s">
        <v>42</v>
      </c>
      <c r="C41" s="309">
        <f>+C38+C40</f>
        <v>1545848000</v>
      </c>
      <c r="D41" s="309">
        <f>+D38+D40</f>
        <v>1620650000</v>
      </c>
      <c r="E41" s="309">
        <f>D41-C41</f>
        <v>74802000</v>
      </c>
      <c r="F41" s="310">
        <f>IF(C41=0,0,E41/C41)</f>
        <v>4.8388974853931302E-2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4484803000</v>
      </c>
      <c r="D43" s="309">
        <f>D22+D29+D31+D32+D33+D41</f>
        <v>5087796000</v>
      </c>
      <c r="E43" s="309">
        <f>D43-C43</f>
        <v>602993000</v>
      </c>
      <c r="F43" s="310">
        <f>IF(C43=0,0,E43/C43)</f>
        <v>0.13445250549466722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377319000</v>
      </c>
      <c r="D49" s="22">
        <v>391690000</v>
      </c>
      <c r="E49" s="22">
        <f t="shared" ref="E49:E56" si="2">D49-C49</f>
        <v>14371000</v>
      </c>
      <c r="F49" s="306">
        <f t="shared" ref="F49:F56" si="3">IF(C49=0,0,E49/C49)</f>
        <v>3.8087135818763433E-2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122564000</v>
      </c>
      <c r="D50" s="22">
        <v>178547000</v>
      </c>
      <c r="E50" s="22">
        <f t="shared" si="2"/>
        <v>55983000</v>
      </c>
      <c r="F50" s="306">
        <f t="shared" si="3"/>
        <v>0.45676544499200417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0</v>
      </c>
      <c r="D51" s="22">
        <v>0</v>
      </c>
      <c r="E51" s="22">
        <f t="shared" si="2"/>
        <v>0</v>
      </c>
      <c r="F51" s="306">
        <f t="shared" si="3"/>
        <v>0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51101000</v>
      </c>
      <c r="D53" s="22">
        <v>63467000</v>
      </c>
      <c r="E53" s="22">
        <f t="shared" si="2"/>
        <v>12366000</v>
      </c>
      <c r="F53" s="306">
        <f t="shared" si="3"/>
        <v>0.24199135046280895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92866000</v>
      </c>
      <c r="D55" s="22">
        <v>85004000</v>
      </c>
      <c r="E55" s="22">
        <f t="shared" si="2"/>
        <v>-7862000</v>
      </c>
      <c r="F55" s="306">
        <f t="shared" si="3"/>
        <v>-8.4659617082678273E-2</v>
      </c>
    </row>
    <row r="56" spans="1:6" ht="24" customHeight="1" x14ac:dyDescent="0.25">
      <c r="A56" s="307"/>
      <c r="B56" s="308" t="s">
        <v>54</v>
      </c>
      <c r="C56" s="309">
        <f>SUM(C49:C55)</f>
        <v>643850000</v>
      </c>
      <c r="D56" s="309">
        <f>SUM(D49:D55)</f>
        <v>718708000</v>
      </c>
      <c r="E56" s="309">
        <f t="shared" si="2"/>
        <v>74858000</v>
      </c>
      <c r="F56" s="310">
        <f t="shared" si="3"/>
        <v>0.11626621107400792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906150000</v>
      </c>
      <c r="D59" s="22">
        <v>867555000</v>
      </c>
      <c r="E59" s="22">
        <f>D59-C59</f>
        <v>-38595000</v>
      </c>
      <c r="F59" s="306">
        <f>IF(C59=0,0,E59/C59)</f>
        <v>-4.2592286045356732E-2</v>
      </c>
    </row>
    <row r="60" spans="1:6" ht="24" customHeight="1" x14ac:dyDescent="0.2">
      <c r="A60" s="304">
        <v>2</v>
      </c>
      <c r="B60" s="305" t="s">
        <v>57</v>
      </c>
      <c r="C60" s="22">
        <v>107159000</v>
      </c>
      <c r="D60" s="22">
        <v>141110000</v>
      </c>
      <c r="E60" s="22">
        <f>D60-C60</f>
        <v>33951000</v>
      </c>
      <c r="F60" s="306">
        <f>IF(C60=0,0,E60/C60)</f>
        <v>0.31682826454147572</v>
      </c>
    </row>
    <row r="61" spans="1:6" ht="24" customHeight="1" x14ac:dyDescent="0.25">
      <c r="A61" s="307"/>
      <c r="B61" s="308" t="s">
        <v>58</v>
      </c>
      <c r="C61" s="309">
        <f>SUM(C59:C60)</f>
        <v>1013309000</v>
      </c>
      <c r="D61" s="309">
        <f>SUM(D59:D60)</f>
        <v>1008665000</v>
      </c>
      <c r="E61" s="309">
        <f>D61-C61</f>
        <v>-4644000</v>
      </c>
      <c r="F61" s="310">
        <f>IF(C61=0,0,E61/C61)</f>
        <v>-4.5830047892597417E-3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339901000</v>
      </c>
      <c r="D63" s="22">
        <v>401409000</v>
      </c>
      <c r="E63" s="22">
        <f>D63-C63</f>
        <v>61508000</v>
      </c>
      <c r="F63" s="306">
        <f>IF(C63=0,0,E63/C63)</f>
        <v>0.18095857323161743</v>
      </c>
    </row>
    <row r="64" spans="1:6" ht="24" customHeight="1" x14ac:dyDescent="0.2">
      <c r="A64" s="304">
        <v>4</v>
      </c>
      <c r="B64" s="305" t="s">
        <v>60</v>
      </c>
      <c r="C64" s="22">
        <v>495824000</v>
      </c>
      <c r="D64" s="22">
        <v>537958000</v>
      </c>
      <c r="E64" s="22">
        <f>D64-C64</f>
        <v>42134000</v>
      </c>
      <c r="F64" s="306">
        <f>IF(C64=0,0,E64/C64)</f>
        <v>8.4977734034657457E-2</v>
      </c>
    </row>
    <row r="65" spans="1:6" ht="24" customHeight="1" x14ac:dyDescent="0.25">
      <c r="A65" s="307"/>
      <c r="B65" s="308" t="s">
        <v>61</v>
      </c>
      <c r="C65" s="309">
        <f>SUM(C61:C64)</f>
        <v>1849034000</v>
      </c>
      <c r="D65" s="309">
        <f>SUM(D61:D64)</f>
        <v>1948032000</v>
      </c>
      <c r="E65" s="309">
        <f>D65-C65</f>
        <v>98998000</v>
      </c>
      <c r="F65" s="310">
        <f>IF(C65=0,0,E65/C65)</f>
        <v>5.354038919781897E-2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1750995000</v>
      </c>
      <c r="D70" s="22">
        <v>2147552000</v>
      </c>
      <c r="E70" s="22">
        <f>D70-C70</f>
        <v>396557000</v>
      </c>
      <c r="F70" s="306">
        <f>IF(C70=0,0,E70/C70)</f>
        <v>0.22647523265343419</v>
      </c>
    </row>
    <row r="71" spans="1:6" ht="24" customHeight="1" x14ac:dyDescent="0.2">
      <c r="A71" s="304">
        <v>2</v>
      </c>
      <c r="B71" s="305" t="s">
        <v>65</v>
      </c>
      <c r="C71" s="22">
        <v>147568000</v>
      </c>
      <c r="D71" s="22">
        <v>163535000</v>
      </c>
      <c r="E71" s="22">
        <f>D71-C71</f>
        <v>15967000</v>
      </c>
      <c r="F71" s="306">
        <f>IF(C71=0,0,E71/C71)</f>
        <v>0.1082009649788572</v>
      </c>
    </row>
    <row r="72" spans="1:6" ht="24" customHeight="1" x14ac:dyDescent="0.2">
      <c r="A72" s="304">
        <v>3</v>
      </c>
      <c r="B72" s="305" t="s">
        <v>66</v>
      </c>
      <c r="C72" s="22">
        <v>93356000</v>
      </c>
      <c r="D72" s="22">
        <v>109969000</v>
      </c>
      <c r="E72" s="22">
        <f>D72-C72</f>
        <v>16613000</v>
      </c>
      <c r="F72" s="306">
        <f>IF(C72=0,0,E72/C72)</f>
        <v>0.17795321136295472</v>
      </c>
    </row>
    <row r="73" spans="1:6" ht="24" customHeight="1" x14ac:dyDescent="0.25">
      <c r="A73" s="304"/>
      <c r="B73" s="308" t="s">
        <v>67</v>
      </c>
      <c r="C73" s="309">
        <f>SUM(C70:C72)</f>
        <v>1991919000</v>
      </c>
      <c r="D73" s="309">
        <f>SUM(D70:D72)</f>
        <v>2421056000</v>
      </c>
      <c r="E73" s="309">
        <f>D73-C73</f>
        <v>429137000</v>
      </c>
      <c r="F73" s="310">
        <f>IF(C73=0,0,E73/C73)</f>
        <v>0.21543898120355295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4484803000</v>
      </c>
      <c r="D75" s="309">
        <f>D56+D65+D67+D73</f>
        <v>5087796000</v>
      </c>
      <c r="E75" s="309">
        <f>D75-C75</f>
        <v>602993000</v>
      </c>
      <c r="F75" s="310">
        <f>IF(C75=0,0,E75/C75)</f>
        <v>0.13445250549466722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0" orientation="portrait" horizontalDpi="1200" verticalDpi="1200" r:id="rId1"/>
  <headerFooter>
    <oddHeader>&amp;LOFFICE OF HEALTH CARE ACCESS&amp;CTWELVE MONTHS ACTUAL FILING&amp;RYALE-NEW HAVEN HEALTH SERVICES CORP. (YNHHSC)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12297458000</v>
      </c>
      <c r="D11" s="76">
        <v>12486307000</v>
      </c>
      <c r="E11" s="76">
        <f t="shared" ref="E11:E20" si="0">D11-C11</f>
        <v>188849000</v>
      </c>
      <c r="F11" s="77">
        <f t="shared" ref="F11:F20" si="1">IF(C11=0,0,E11/C11)</f>
        <v>1.535675096430498E-2</v>
      </c>
    </row>
    <row r="12" spans="1:7" ht="23.1" customHeight="1" x14ac:dyDescent="0.2">
      <c r="A12" s="74">
        <v>2</v>
      </c>
      <c r="B12" s="75" t="s">
        <v>72</v>
      </c>
      <c r="C12" s="76">
        <v>8479889000</v>
      </c>
      <c r="D12" s="76">
        <v>8535501000</v>
      </c>
      <c r="E12" s="76">
        <f t="shared" si="0"/>
        <v>55612000</v>
      </c>
      <c r="F12" s="77">
        <f t="shared" si="1"/>
        <v>6.5581047110404396E-3</v>
      </c>
    </row>
    <row r="13" spans="1:7" ht="23.1" customHeight="1" x14ac:dyDescent="0.2">
      <c r="A13" s="74">
        <v>3</v>
      </c>
      <c r="B13" s="75" t="s">
        <v>73</v>
      </c>
      <c r="C13" s="76">
        <v>184456000</v>
      </c>
      <c r="D13" s="76">
        <v>197173000</v>
      </c>
      <c r="E13" s="76">
        <f t="shared" si="0"/>
        <v>12717000</v>
      </c>
      <c r="F13" s="77">
        <f t="shared" si="1"/>
        <v>6.8943271023984037E-2</v>
      </c>
    </row>
    <row r="14" spans="1:7" ht="23.1" customHeight="1" x14ac:dyDescent="0.2">
      <c r="A14" s="74">
        <v>4</v>
      </c>
      <c r="B14" s="75" t="s">
        <v>74</v>
      </c>
      <c r="C14" s="76">
        <v>58900000</v>
      </c>
      <c r="D14" s="76">
        <v>70278000</v>
      </c>
      <c r="E14" s="76">
        <f t="shared" si="0"/>
        <v>11378000</v>
      </c>
      <c r="F14" s="77">
        <f t="shared" si="1"/>
        <v>0.19317487266553479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3574213000</v>
      </c>
      <c r="D15" s="79">
        <f>D11-D12-D13-D14</f>
        <v>3683355000</v>
      </c>
      <c r="E15" s="79">
        <f t="shared" si="0"/>
        <v>109142000</v>
      </c>
      <c r="F15" s="80">
        <f t="shared" si="1"/>
        <v>3.0535952949642342E-2</v>
      </c>
    </row>
    <row r="16" spans="1:7" ht="23.1" customHeight="1" x14ac:dyDescent="0.2">
      <c r="A16" s="74">
        <v>5</v>
      </c>
      <c r="B16" s="75" t="s">
        <v>76</v>
      </c>
      <c r="C16" s="76">
        <v>81528000</v>
      </c>
      <c r="D16" s="76">
        <v>104084000</v>
      </c>
      <c r="E16" s="76">
        <f t="shared" si="0"/>
        <v>22556000</v>
      </c>
      <c r="F16" s="77">
        <f t="shared" si="1"/>
        <v>0.27666568540869396</v>
      </c>
      <c r="G16" s="65"/>
    </row>
    <row r="17" spans="1:7" ht="31.5" customHeight="1" x14ac:dyDescent="0.25">
      <c r="A17" s="71"/>
      <c r="B17" s="81" t="s">
        <v>77</v>
      </c>
      <c r="C17" s="79">
        <f>C15-C16</f>
        <v>3492685000</v>
      </c>
      <c r="D17" s="79">
        <f>D15-D16</f>
        <v>3579271000</v>
      </c>
      <c r="E17" s="79">
        <f t="shared" si="0"/>
        <v>86586000</v>
      </c>
      <c r="F17" s="80">
        <f t="shared" si="1"/>
        <v>2.4790669642409779E-2</v>
      </c>
    </row>
    <row r="18" spans="1:7" ht="23.1" customHeight="1" x14ac:dyDescent="0.2">
      <c r="A18" s="74">
        <v>6</v>
      </c>
      <c r="B18" s="75" t="s">
        <v>78</v>
      </c>
      <c r="C18" s="76">
        <v>104061000</v>
      </c>
      <c r="D18" s="76">
        <v>181390000</v>
      </c>
      <c r="E18" s="76">
        <f t="shared" si="0"/>
        <v>77329000</v>
      </c>
      <c r="F18" s="77">
        <f t="shared" si="1"/>
        <v>0.74311221302889652</v>
      </c>
      <c r="G18" s="65"/>
    </row>
    <row r="19" spans="1:7" ht="33" customHeight="1" x14ac:dyDescent="0.2">
      <c r="A19" s="74">
        <v>7</v>
      </c>
      <c r="B19" s="82" t="s">
        <v>79</v>
      </c>
      <c r="C19" s="76">
        <v>5534000</v>
      </c>
      <c r="D19" s="76">
        <v>26243000</v>
      </c>
      <c r="E19" s="76">
        <f t="shared" si="0"/>
        <v>20709000</v>
      </c>
      <c r="F19" s="77">
        <f t="shared" si="1"/>
        <v>3.7421395012649077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3602280000</v>
      </c>
      <c r="D20" s="79">
        <f>SUM(D17:D19)</f>
        <v>3786904000</v>
      </c>
      <c r="E20" s="79">
        <f t="shared" si="0"/>
        <v>184624000</v>
      </c>
      <c r="F20" s="80">
        <f t="shared" si="1"/>
        <v>5.125198485403689E-2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1390520000</v>
      </c>
      <c r="D23" s="76">
        <v>1436675000</v>
      </c>
      <c r="E23" s="76">
        <f t="shared" ref="E23:E32" si="2">D23-C23</f>
        <v>46155000</v>
      </c>
      <c r="F23" s="77">
        <f t="shared" ref="F23:F32" si="3">IF(C23=0,0,E23/C23)</f>
        <v>3.3192618588729399E-2</v>
      </c>
    </row>
    <row r="24" spans="1:7" ht="23.1" customHeight="1" x14ac:dyDescent="0.2">
      <c r="A24" s="74">
        <v>2</v>
      </c>
      <c r="B24" s="75" t="s">
        <v>83</v>
      </c>
      <c r="C24" s="76">
        <v>467952000</v>
      </c>
      <c r="D24" s="76">
        <v>467576000</v>
      </c>
      <c r="E24" s="76">
        <f t="shared" si="2"/>
        <v>-376000</v>
      </c>
      <c r="F24" s="77">
        <f t="shared" si="3"/>
        <v>-8.03501213799706E-4</v>
      </c>
    </row>
    <row r="25" spans="1:7" ht="23.1" customHeight="1" x14ac:dyDescent="0.2">
      <c r="A25" s="74">
        <v>3</v>
      </c>
      <c r="B25" s="75" t="s">
        <v>84</v>
      </c>
      <c r="C25" s="76">
        <v>127505000</v>
      </c>
      <c r="D25" s="76">
        <v>141028000</v>
      </c>
      <c r="E25" s="76">
        <f t="shared" si="2"/>
        <v>13523000</v>
      </c>
      <c r="F25" s="77">
        <f t="shared" si="3"/>
        <v>0.10605858593780636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572515000</v>
      </c>
      <c r="D26" s="76">
        <v>626422000</v>
      </c>
      <c r="E26" s="76">
        <f t="shared" si="2"/>
        <v>53907000</v>
      </c>
      <c r="F26" s="77">
        <f t="shared" si="3"/>
        <v>9.4158231662052519E-2</v>
      </c>
    </row>
    <row r="27" spans="1:7" ht="23.1" customHeight="1" x14ac:dyDescent="0.2">
      <c r="A27" s="74">
        <v>5</v>
      </c>
      <c r="B27" s="75" t="s">
        <v>86</v>
      </c>
      <c r="C27" s="76">
        <v>185944000</v>
      </c>
      <c r="D27" s="76">
        <v>191544000</v>
      </c>
      <c r="E27" s="76">
        <f t="shared" si="2"/>
        <v>5600000</v>
      </c>
      <c r="F27" s="77">
        <f t="shared" si="3"/>
        <v>3.0116594243428128E-2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24188000</v>
      </c>
      <c r="D29" s="76">
        <v>28912000</v>
      </c>
      <c r="E29" s="76">
        <f t="shared" si="2"/>
        <v>4724000</v>
      </c>
      <c r="F29" s="77">
        <f t="shared" si="3"/>
        <v>0.19530345625930212</v>
      </c>
    </row>
    <row r="30" spans="1:7" ht="23.1" customHeight="1" x14ac:dyDescent="0.2">
      <c r="A30" s="74">
        <v>8</v>
      </c>
      <c r="B30" s="75" t="s">
        <v>89</v>
      </c>
      <c r="C30" s="76">
        <v>64096000</v>
      </c>
      <c r="D30" s="76">
        <v>81093000</v>
      </c>
      <c r="E30" s="76">
        <f t="shared" si="2"/>
        <v>16997000</v>
      </c>
      <c r="F30" s="77">
        <f t="shared" si="3"/>
        <v>0.26518035446829757</v>
      </c>
    </row>
    <row r="31" spans="1:7" ht="23.1" customHeight="1" x14ac:dyDescent="0.2">
      <c r="A31" s="74">
        <v>9</v>
      </c>
      <c r="B31" s="75" t="s">
        <v>90</v>
      </c>
      <c r="C31" s="76">
        <v>609904000</v>
      </c>
      <c r="D31" s="76">
        <v>674316000</v>
      </c>
      <c r="E31" s="76">
        <f t="shared" si="2"/>
        <v>64412000</v>
      </c>
      <c r="F31" s="77">
        <f t="shared" si="3"/>
        <v>0.10561006322306461</v>
      </c>
    </row>
    <row r="32" spans="1:7" ht="23.1" customHeight="1" x14ac:dyDescent="0.25">
      <c r="A32" s="71"/>
      <c r="B32" s="78" t="s">
        <v>91</v>
      </c>
      <c r="C32" s="79">
        <f>SUM(C23:C31)</f>
        <v>3442624000</v>
      </c>
      <c r="D32" s="79">
        <f>SUM(D23:D31)</f>
        <v>3647566000</v>
      </c>
      <c r="E32" s="79">
        <f t="shared" si="2"/>
        <v>204942000</v>
      </c>
      <c r="F32" s="80">
        <f t="shared" si="3"/>
        <v>5.9530753285865663E-2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159656000</v>
      </c>
      <c r="D34" s="79">
        <f>+D20-D32</f>
        <v>139338000</v>
      </c>
      <c r="E34" s="79">
        <f>D34-C34</f>
        <v>-20318000</v>
      </c>
      <c r="F34" s="80">
        <f>IF(C34=0,0,E34/C34)</f>
        <v>-0.1272611113894874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5099000</v>
      </c>
      <c r="D37" s="76">
        <v>14692000</v>
      </c>
      <c r="E37" s="76">
        <f>D37-C37</f>
        <v>9593000</v>
      </c>
      <c r="F37" s="77">
        <f>IF(C37=0,0,E37/C37)</f>
        <v>1.8813492841733672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-35200000</v>
      </c>
      <c r="D39" s="76">
        <v>208476000</v>
      </c>
      <c r="E39" s="76">
        <f>D39-C39</f>
        <v>243676000</v>
      </c>
      <c r="F39" s="77">
        <f>IF(C39=0,0,E39/C39)</f>
        <v>-6.9226136363636366</v>
      </c>
    </row>
    <row r="40" spans="1:6" ht="23.1" customHeight="1" x14ac:dyDescent="0.25">
      <c r="A40" s="83"/>
      <c r="B40" s="78" t="s">
        <v>97</v>
      </c>
      <c r="C40" s="79">
        <f>SUM(C37:C39)</f>
        <v>-30101000</v>
      </c>
      <c r="D40" s="79">
        <f>SUM(D37:D39)</f>
        <v>223168000</v>
      </c>
      <c r="E40" s="79">
        <f>D40-C40</f>
        <v>253269000</v>
      </c>
      <c r="F40" s="80">
        <f>IF(C40=0,0,E40/C40)</f>
        <v>-8.4139729577090456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129555000</v>
      </c>
      <c r="D42" s="79">
        <f>D34+D40</f>
        <v>362506000</v>
      </c>
      <c r="E42" s="79">
        <f>D42-C42</f>
        <v>232951000</v>
      </c>
      <c r="F42" s="80">
        <f>IF(C42=0,0,E42/C42)</f>
        <v>1.7980857550847131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14536000</v>
      </c>
      <c r="D45" s="76">
        <v>97402000</v>
      </c>
      <c r="E45" s="76">
        <f>D45-C45</f>
        <v>82866000</v>
      </c>
      <c r="F45" s="77">
        <f>IF(C45=0,0,E45/C45)</f>
        <v>5.7007429829389107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14536000</v>
      </c>
      <c r="D47" s="79">
        <f>SUM(D45:D46)</f>
        <v>97402000</v>
      </c>
      <c r="E47" s="79">
        <f>D47-C47</f>
        <v>82866000</v>
      </c>
      <c r="F47" s="80">
        <f>IF(C47=0,0,E47/C47)</f>
        <v>5.7007429829389107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144091000</v>
      </c>
      <c r="D49" s="79">
        <f>D42+D47</f>
        <v>459908000</v>
      </c>
      <c r="E49" s="79">
        <f>D49-C49</f>
        <v>315817000</v>
      </c>
      <c r="F49" s="80">
        <f>IF(C49=0,0,E49/C49)</f>
        <v>2.1917885225309006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FILING&amp;R&amp;8YALE-NEW HAVEN HEALTH SERVICES CORP. (YNHHSC)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2017-09-19T17:06:31Z</cp:lastPrinted>
  <dcterms:created xsi:type="dcterms:W3CDTF">2017-09-14T16:09:52Z</dcterms:created>
  <dcterms:modified xsi:type="dcterms:W3CDTF">2017-09-19T17:06:38Z</dcterms:modified>
</cp:coreProperties>
</file>